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comments+xml" PartName="/xl/comments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
<Relationships xmlns="http://schemas.openxmlformats.org/package/2006/relationships"><Relationship Id="rIdWorkbook" Type="http://schemas.openxmlformats.org/officeDocument/2006/relationships/officeDocument" Target="xl/workbook.xml"/>
<Relationship Id="rIdCore" Type="http://schemas.openxmlformats.org/officedocument/2006/relationships/metadata/core-properties" Target="docProps/core.xml"/>
<Relationship Id="rIdApp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sheets>
    <sheet name="Sheet1" sheetId="1" r:id="rIdSheet1" state="visible"/>
  </sheets>
</workbook>
</file>

<file path=xl/comments1.xml><?xml version="1.0" encoding="utf-8"?>
<comments xmlns="http://schemas.openxmlformats.org/spreadsheetml/2006/main">
  <authors>
    <author>Unknown</author>
  </authors>
  <commentList>  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2"/>
      <color rgb="FF000000"/>
      <name val="Calibri"/>
    </font>
    <font>
      <sz val="10"/>
      <color rgb="FF000000"/>
      <name val="Arial"/>
      <b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</border>
  </borders>
  <cellStyleXfs count="1">
    <xf borderId="0" fillId="0" fontId="0" numFmtId="0"/>
  </cellStyleXfs>
  <cellXfs count="3">
    <xf numFmtId="0" fontId="0" fillId="0" borderId="0" xfId="0" applyFont="1" applyBorder="0"/>
    <xf numFmtId="0" fontId="1" fillId="0" borderId="0" xfId="0" applyFont="1" applyBorder="0" applyAlignment="1">
      <alignment horizontal="center"/>
    </xf>
    <xf numFmtId="0" fontId="2" fillId="0" borderId="0" xfId="0" applyFont="1" applyBorder="0" applyAlignment="1">
      <alignment horizontal="left" wrapText="1"/>
    </xf>
  </cellXfs>
  <cellStyles count="1">
    <cellStyle builtinId="0" name="Normal" xfId="0"/>
  </cellStyles>
</styleSheet>
</file>

<file path=xl/_rels/workbook.xml.rels><?xml version="1.0" encoding="UTF-8"?>
<Relationships xmlns="http://schemas.openxmlformats.org/package/2006/relationships">
    <Relationship Id="rIdStyles" Target="styles.xml" Type="http://schemas.openxmlformats.org/officeDocument/2006/relationships/styles"/>
    <Relationship Id="rIdSharedStrings" Target="sharedStrings.xml" Type="http://schemas.openxmlformats.org/officeDocument/2006/relationships/sharedStrings"/><Relationship Id="rIdSheet1" Target="worksheets/sheet1.xml" Type="http://schemas.openxmlformats.org/officeDocument/2006/relationships/worksheet"/></Relationships>
</file>

<file path=xl/worksheets/_rels/sheet1.xml.rels><?xml version="1.0" encoding="UTF-8" standalone="yes"?>
              <Relationships xmlns="http://schemas.openxmlformats.org/package/2006/relationships">
                <Relationship Id="rId_comments_vml1" Type="http://schemas.openxmlformats.org/officeDocument/2006/relationships/vmlDrawing" Target="../drawings/vmlDrawing1.vml"/>
                <Relationship Id="rId_comments1" Type="http://schemas.openxmlformats.org/officeDocument/2006/relationships/comments" Target="../comments1.xml"/>
              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49"/>
  <cols>
    <col min="1" max="1" width="40" customWidth="true"/>
    <col min="2" max="2" width="15" customWidth="true"/>
    <col min="3" max="3" width="30" customWidth="true"/>
    <col min="4" max="4" width="80" customWidth="true"/>
    <col min="5" max="5" width="10" customWidth="true"/>
    <col min="6" max="6" width="10" customWidth="true"/>
    <col min="7" max="7" width="10" customWidth="true"/>
    <col min="8" max="8" width="20" customWidth="true"/>
    <col min="9" max="9" width="10" customWidth="true"/>
    <col min="10" max="10" width="30" customWidth="true"/>
  </cols>
  <sheetData>
    <row r="1" spans="1:10" customHeight="0">
      <c r="A1" s="1" t="inlineStr">
        <is>
          <t>Вид оборудования</t>
        </is>
      </c>
      <c r="B1" s="1" t="inlineStr">
        <is>
          <t>Бренд</t>
        </is>
      </c>
      <c r="C1" s="1" t="inlineStr">
        <is>
          <t>PN</t>
        </is>
      </c>
      <c r="D1" s="1" t="inlineStr">
        <is>
          <t>Наименование</t>
        </is>
      </c>
      <c r="E1" s="1" t="inlineStr">
        <is>
          <t>Есть</t>
        </is>
      </c>
      <c r="F1" s="1" t="inlineStr">
        <is>
          <t>Свободно</t>
        </is>
      </c>
      <c r="G1" s="1" t="inlineStr">
        <is>
          <t>Транзит</t>
        </is>
      </c>
      <c r="H1" s="1" t="inlineStr">
        <is>
          <t>Цена</t>
        </is>
      </c>
      <c r="I1" s="1" t="inlineStr">
        <is>
          <t>Валюта</t>
        </is>
      </c>
      <c r="J1" s="1" t="inlineStr">
        <is>
          <t>Ссылка на товар</t>
        </is>
      </c>
    </row>
    <row r="2" spans="1:10" customHeight="0">
      <c r="A2" s="2" t="inlineStr">
        <is>
          <t>HDD  для серверов</t>
        </is>
      </c>
      <c r="B2" s="2" t="inlineStr">
        <is>
          <t>Western Digital </t>
        </is>
      </c>
      <c r="C2" s="2" t="inlineStr">
        <is>
          <t>WUH721816ALE6L4</t>
        </is>
      </c>
      <c r="D2" s="2" t="inlineStr">
        <is>
          <t>Жесткий диск 16 Tb SATA 6Gb/s Western Digital DC HC550 &lt;WUH721816ALE6L4/0F38462/0F38466&gt; 3.5" 7200rpm 512Mb 1 (Б/У, гарантия 1 год)</t>
        </is>
      </c>
      <c r="E2" s="2">
        <v>370</v>
      </c>
      <c r="F2" s="2">
        <v>370</v>
      </c>
      <c r="H2" s="2">
        <v>235</v>
      </c>
      <c r="I2" s="2" t="inlineStr">
        <is>
          <t>$</t>
        </is>
      </c>
      <c r="J2" s="2">
        <f>HYPERLINK("https://app.astro.lead-studio.pro/product/a5db9eb9-e37c-49a2-be1d-6e9ce9ad555f")</f>
      </c>
    </row>
    <row r="3" spans="1:10" customHeight="0">
      <c r="A3" s="2" t="inlineStr">
        <is>
          <t>Коммутаторы</t>
        </is>
      </c>
      <c r="B3" s="2" t="inlineStr">
        <is>
          <t>Brocade</t>
        </is>
      </c>
      <c r="C3" s="2" t="inlineStr">
        <is>
          <t>BR-G610-24-32G</t>
        </is>
      </c>
      <c r="D3" s="2" t="inlineStr">
        <is>
          <t>Коммутатор Brocade G610 FC 24x32GB SWL SFP moudles Enterprise Bundle (BR-G610-24-32G)</t>
        </is>
      </c>
      <c r="E3" s="2">
        <v>2</v>
      </c>
      <c r="F3" s="2">
        <v>2</v>
      </c>
      <c r="H3" s="2">
        <v>9210</v>
      </c>
      <c r="I3" s="2" t="inlineStr">
        <is>
          <t>$</t>
        </is>
      </c>
      <c r="J3" s="2">
        <f>HYPERLINK("https://app.astro.lead-studio.pro/product/e44d6d0e-93ff-46b7-925c-27be4fa5dd43")</f>
      </c>
    </row>
    <row r="4" spans="1:10" customHeight="0">
      <c r="A4" s="2" t="inlineStr">
        <is>
          <t>Системы хранения данных</t>
        </is>
      </c>
      <c r="B4" s="2" t="inlineStr">
        <is>
          <t>Infortrend</t>
        </is>
      </c>
      <c r="C4" s="2" t="inlineStr">
        <is>
          <t>84GS30R90THI-0010</t>
        </is>
      </c>
      <c r="D4" s="2" t="inlineStr">
        <is>
          <t>Контроллер Infortrend 84GS30R90THI (84GS30R90THI-0010)</t>
        </is>
      </c>
      <c r="E4" s="2">
        <v>1</v>
      </c>
      <c r="F4" s="2">
        <v>1</v>
      </c>
      <c r="H4" s="2">
        <v>2000000</v>
      </c>
      <c r="I4" s="2" t="inlineStr">
        <is>
          <t>руб.</t>
        </is>
      </c>
    </row>
    <row r="5" spans="1:10" customHeight="0">
      <c r="A5" s="2" t="inlineStr">
        <is>
          <t>хранения данных</t>
        </is>
      </c>
      <c r="B5" s="2" t="inlineStr">
        <is>
          <t>Infortrend</t>
        </is>
      </c>
      <c r="C5" s="2" t="inlineStr">
        <is>
          <t>RFC32G1HIO2-0010</t>
        </is>
      </c>
      <c r="D5" s="2" t="inlineStr">
        <is>
          <t>Интерфейсная плата Infortrend host board with 2 x 32 Gb/s FC 2 1 884.00 3 768.00 ports, type 2 (without transceivers) </t>
        </is>
      </c>
      <c r="E5" s="2">
        <v>2</v>
      </c>
      <c r="F5" s="2">
        <v>2</v>
      </c>
      <c r="H5" s="2">
        <v>3000</v>
      </c>
      <c r="I5" s="2" t="inlineStr">
        <is>
          <t>$</t>
        </is>
      </c>
      <c r="J5" s="2">
        <f>HYPERLINK("https://app.astro.lead-studio.pro/product/910d05c5-f7a9-4c24-aba2-d506e9c0c51a")</f>
      </c>
    </row>
    <row r="6" spans="1:10" customHeight="0">
      <c r="A6" s="2" t="inlineStr">
        <is>
          <t>Сетевое оборудование</t>
        </is>
      </c>
      <c r="B6" s="2" t="inlineStr">
        <is>
          <t>HUAWEI</t>
        </is>
      </c>
      <c r="C6" s="2" t="inlineStr">
        <is>
          <t>03022SXA</t>
        </is>
      </c>
      <c r="D6" s="2" t="inlineStr">
        <is>
          <t>Сетевой адаптер 03022sxa для сервера mz710, 2*40ge port RoCE Mezzanine card, PCIE 3.0 x8</t>
        </is>
      </c>
      <c r="E6" s="2">
        <v>7</v>
      </c>
      <c r="F6" s="2">
        <v>7</v>
      </c>
      <c r="H6" s="2">
        <v>715</v>
      </c>
      <c r="I6" s="2" t="inlineStr">
        <is>
          <t>$</t>
        </is>
      </c>
      <c r="J6" s="2">
        <f>HYPERLINK("https://app.astro.lead-studio.pro/product/47a72529-3a70-4df3-9518-e637e9b6f729")</f>
      </c>
    </row>
    <row r="7" spans="1:10" customHeight="0">
      <c r="A7" s="2" t="inlineStr">
        <is>
          <t>Серверы</t>
        </is>
      </c>
      <c r="B7" s="2" t="inlineStr">
        <is>
          <t>SUPERMICRO</t>
        </is>
      </c>
      <c r="C7" s="2" t="inlineStr">
        <is>
          <t>SYS-821GE-TNHR</t>
        </is>
      </c>
      <c r="D7" s="2" t="inlineStr">
        <is>
          <t>Сервер Supermicro SYS-821GE-TNHR 8GPU X13DEG-OAD, 2хXeon Platinum 8570, 32x64GB DDR5-5600, 3xMicron 7450 PRO 1.9TB, 3xMicron 7450 MAX 6.4TB, 2xConnectX-6 Dx100GbE, 2-port 10G RJ45, NVIDIA DELTA-NEXT HGX </t>
        </is>
      </c>
      <c r="E7" s="2">
        <v>1</v>
      </c>
      <c r="F7" s="2">
        <v>1</v>
      </c>
      <c r="H7" s="2">
        <v>528590</v>
      </c>
      <c r="I7" s="2" t="inlineStr">
        <is>
          <t>$</t>
        </is>
      </c>
      <c r="J7" s="2">
        <f>HYPERLINK("https://app.astro.lead-studio.pro/product/185b48a3-f04e-4f71-b11c-ffc732ff9521")</f>
      </c>
    </row>
    <row r="8" spans="1:10" customHeight="0">
      <c r="A8" s="2" t="inlineStr">
        <is>
          <t>Спутниковое оборудование</t>
        </is>
      </c>
      <c r="B8" s="2" t="inlineStr">
        <is>
          <t>Gilat</t>
        </is>
      </c>
      <c r="C8" s="2" t="inlineStr">
        <is>
          <t>SKYEDGE</t>
        </is>
      </c>
      <c r="D8" s="2" t="inlineStr">
        <is>
          <t>Спутниковый модем Gilat SKYEDGE II-c GEMINI-I S2X (для спутника Ямал-601, лиц. 100 Мбит/с)</t>
        </is>
      </c>
      <c r="E8" s="2" t="inlineStr">
        <is>
          <t>**</t>
        </is>
      </c>
      <c r="F8" s="2" t="inlineStr">
        <is>
          <t>**</t>
        </is>
      </c>
      <c r="H8" s="2">
        <v>45500</v>
      </c>
      <c r="I8" s="2" t="inlineStr">
        <is>
          <t>руб.</t>
        </is>
      </c>
    </row>
    <row r="9" spans="1:10" customHeight="0">
      <c r="A9" s="2" t="inlineStr">
        <is>
          <t>Спутниковое оборудование</t>
        </is>
      </c>
      <c r="B9" s="2" t="inlineStr">
        <is>
          <t>Gilat</t>
        </is>
      </c>
      <c r="C9" s="2" t="inlineStr">
        <is>
          <t>SKYEDGE</t>
        </is>
      </c>
      <c r="D9" s="2" t="inlineStr">
        <is>
          <t>Спутниковый модем Gilat SKYEDGE II-C GEMINI-e S2 (для спутника АМУ-1)</t>
        </is>
      </c>
      <c r="E9" s="2" t="inlineStr">
        <is>
          <t>**</t>
        </is>
      </c>
      <c r="F9" s="2" t="inlineStr">
        <is>
          <t>**</t>
        </is>
      </c>
      <c r="H9" s="2">
        <v>152360</v>
      </c>
      <c r="I9" s="2" t="inlineStr">
        <is>
          <t>руб.</t>
        </is>
      </c>
    </row>
    <row r="10" spans="1:10" customHeight="0">
      <c r="A10" s="2" t="inlineStr">
        <is>
          <t>Спутниковое оборудование</t>
        </is>
      </c>
      <c r="B10" s="2" t="inlineStr">
        <is>
          <t>Gilat</t>
        </is>
      </c>
      <c r="C10" s="2" t="inlineStr">
        <is>
          <t>SKYEDGE</t>
        </is>
      </c>
      <c r="D10" s="2" t="inlineStr">
        <is>
          <t>Спутниковый комплект Gilat SKYEDGE II-c GEMINI-I S2X (под спутник Ямал-601, лиц. 100 Мбит/с)</t>
        </is>
      </c>
      <c r="E10" s="2" t="inlineStr">
        <is>
          <t>**</t>
        </is>
      </c>
      <c r="F10" s="2" t="inlineStr">
        <is>
          <t>**</t>
        </is>
      </c>
      <c r="H10" s="2">
        <v>110500</v>
      </c>
      <c r="I10" s="2" t="inlineStr">
        <is>
          <t>руб.</t>
        </is>
      </c>
    </row>
    <row r="11" spans="1:10" customHeight="0">
      <c r="A11" s="2" t="inlineStr">
        <is>
          <t>Спутниковое оборудование</t>
        </is>
      </c>
      <c r="B11" s="2" t="inlineStr">
        <is>
          <t>Gilat</t>
        </is>
      </c>
      <c r="C11" s="2" t="inlineStr">
        <is>
          <t>SKYEDGE</t>
        </is>
      </c>
      <c r="D11" s="2" t="inlineStr">
        <is>
          <t>Модем Gilat SKYEDGE II-c GEMINI-I S2 (под спутник АМУ-1, лиц. 40 Мбит/с) </t>
        </is>
      </c>
      <c r="E11" s="2" t="inlineStr">
        <is>
          <t>**</t>
        </is>
      </c>
      <c r="F11" s="2" t="inlineStr">
        <is>
          <t>**</t>
        </is>
      </c>
      <c r="H11" s="2">
        <v>45500</v>
      </c>
      <c r="I11" s="2" t="inlineStr">
        <is>
          <t>руб.</t>
        </is>
      </c>
    </row>
    <row r="12" spans="1:10" customHeight="0">
      <c r="A12" s="2" t="inlineStr">
        <is>
          <t>Счетчик воды</t>
        </is>
      </c>
      <c r="B12" s="2" t="inlineStr">
        <is>
          <t>Декаст</t>
        </is>
      </c>
      <c r="C12" s="2" t="inlineStr">
        <is>
          <t>72-15-315</t>
        </is>
      </c>
      <c r="D12" s="2" t="inlineStr">
        <is>
          <t>Счетчик воды Декаст Декаст ВСКМ-15 iWAN (LoRaWan), IP54, латунный корпус, резьбовой, 110 мм, с комплектом монтажных частей</t>
        </is>
      </c>
      <c r="E12" s="2" t="inlineStr">
        <is>
          <t>**</t>
        </is>
      </c>
      <c r="F12" s="2" t="inlineStr">
        <is>
          <t>**</t>
        </is>
      </c>
      <c r="H12" s="2">
        <v>4833.31</v>
      </c>
      <c r="I12" s="2" t="inlineStr">
        <is>
          <t>руб.</t>
        </is>
      </c>
    </row>
    <row r="13" spans="1:10" customHeight="0">
      <c r="A13" s="2" t="inlineStr">
        <is>
          <t>Счетчик воды</t>
        </is>
      </c>
      <c r="B13" s="2" t="inlineStr">
        <is>
          <t>Декаст</t>
        </is>
      </c>
      <c r="C13" s="2" t="inlineStr">
        <is>
          <t>72-15-480</t>
        </is>
      </c>
      <c r="D13" s="2" t="inlineStr">
        <is>
          <t>Счетчик воды Декаст ВСКМ 90Х-15 Класс "С" МИД Р (LoRaWan), IP68, латунный корпус, резьбовой, 165 мм, с комплектом монтажных частей</t>
        </is>
      </c>
      <c r="E13" s="2" t="inlineStr">
        <is>
          <t>**</t>
        </is>
      </c>
      <c r="F13" s="2" t="inlineStr">
        <is>
          <t>**</t>
        </is>
      </c>
      <c r="H13" s="2">
        <v>10509.69</v>
      </c>
      <c r="I13" s="2" t="inlineStr">
        <is>
          <t>руб.</t>
        </is>
      </c>
    </row>
    <row r="14" spans="1:10" customHeight="0">
      <c r="A14" s="2" t="inlineStr">
        <is>
          <t>Счетчик воды</t>
        </is>
      </c>
      <c r="B14" s="2" t="inlineStr">
        <is>
          <t>Декаст</t>
        </is>
      </c>
      <c r="C14" s="2" t="inlineStr">
        <is>
          <t>72-20-480</t>
        </is>
      </c>
      <c r="D14" s="2" t="inlineStr">
        <is>
          <t>Счетчик воды Декаст ВСКМ 90Х-20 Класс "С" МИД Р (LoRaWan), IP68, латунный корпус, резьбовой, 190 мм, с комплектом монтажных частей</t>
        </is>
      </c>
      <c r="E14" s="2" t="inlineStr">
        <is>
          <t>**</t>
        </is>
      </c>
      <c r="F14" s="2" t="inlineStr">
        <is>
          <t>**</t>
        </is>
      </c>
      <c r="H14" s="2">
        <v>11322.81</v>
      </c>
      <c r="I14" s="2" t="inlineStr">
        <is>
          <t>руб.</t>
        </is>
      </c>
    </row>
    <row r="15" spans="1:10" customHeight="0">
      <c r="A15" s="2" t="inlineStr">
        <is>
          <t>Счетчик воды</t>
        </is>
      </c>
      <c r="B15" s="2" t="inlineStr">
        <is>
          <t>Декаст</t>
        </is>
      </c>
      <c r="C15" s="2" t="inlineStr">
        <is>
          <t>76-15-303</t>
        </is>
      </c>
      <c r="D15" s="2" t="inlineStr">
        <is>
          <t>Счетчик воды Декаст ОСВХ-15 "НЕПТУН" Класс "С" МИД Р (LoRaWan), IP54, латунный корпус, резьбовой, 110 мм, с комплектом монтажных частей</t>
        </is>
      </c>
      <c r="E15" s="2" t="inlineStr">
        <is>
          <t>**</t>
        </is>
      </c>
      <c r="F15" s="2" t="inlineStr">
        <is>
          <t>**</t>
        </is>
      </c>
      <c r="H15" s="2">
        <v>7975.3</v>
      </c>
      <c r="I15" s="2" t="inlineStr">
        <is>
          <t>руб.</t>
        </is>
      </c>
    </row>
    <row r="16" spans="1:10" customHeight="0">
      <c r="A16" s="2" t="inlineStr">
        <is>
          <t>Счетчик воды</t>
        </is>
      </c>
      <c r="B16" s="2" t="inlineStr">
        <is>
          <t>Декаст</t>
        </is>
      </c>
      <c r="C16" s="2" t="inlineStr">
        <is>
          <t>76-20-303</t>
        </is>
      </c>
      <c r="D16" s="2" t="inlineStr">
        <is>
          <t>Счетчик воды Декаст ОСВХ-20 "НЕПТУН" Класс "С" МИД Р (LoRaWan), IP54, латунный корпус, резьбовой, 130 мм, с комплектом монтажных частей</t>
        </is>
      </c>
      <c r="E16" s="2" t="inlineStr">
        <is>
          <t>**</t>
        </is>
      </c>
      <c r="F16" s="2" t="inlineStr">
        <is>
          <t>**</t>
        </is>
      </c>
      <c r="H16" s="2">
        <v>9031.3</v>
      </c>
      <c r="I16" s="2" t="inlineStr">
        <is>
          <t>руб.</t>
        </is>
      </c>
    </row>
    <row r="17" spans="1:10" customHeight="0">
      <c r="A17" s="2" t="inlineStr">
        <is>
          <t>Счетчик воды</t>
        </is>
      </c>
      <c r="B17" s="2" t="inlineStr">
        <is>
          <t>Декаст</t>
        </is>
      </c>
      <c r="C17" s="2" t="inlineStr">
        <is>
          <t>72-15-298</t>
        </is>
      </c>
      <c r="D17" s="2" t="inlineStr">
        <is>
          <t>Счетчик воды универсальный Декаст ВСКМ-15 МИД Р (LoRaWan), IP54, латунный корпус, резьбовой, 110 мм, с комплектом монтажных частей</t>
        </is>
      </c>
      <c r="E17" s="2" t="inlineStr">
        <is>
          <t>**</t>
        </is>
      </c>
      <c r="F17" s="2" t="inlineStr">
        <is>
          <t>**</t>
        </is>
      </c>
      <c r="H17" s="2">
        <v>7799.3</v>
      </c>
      <c r="I17" s="2" t="inlineStr">
        <is>
          <t>руб.</t>
        </is>
      </c>
    </row>
    <row r="18" spans="1:10" customHeight="0">
      <c r="A18" s="2" t="inlineStr">
        <is>
          <t>Счетчик воды</t>
        </is>
      </c>
      <c r="B18" s="2" t="inlineStr">
        <is>
          <t>Декаст</t>
        </is>
      </c>
      <c r="C18" s="2" t="inlineStr">
        <is>
          <t>72-15-482</t>
        </is>
      </c>
      <c r="D18" s="2" t="inlineStr">
        <is>
          <t>Счетчик воды универсальный Декаст ВСКМ-15 МИД Р (LoRaWan), IP54, латунный корпус, резьбовой, 165 мм, с комплектом монтажных частей</t>
        </is>
      </c>
      <c r="E18" s="2" t="inlineStr">
        <is>
          <t>**</t>
        </is>
      </c>
      <c r="F18" s="2" t="inlineStr">
        <is>
          <t>**</t>
        </is>
      </c>
      <c r="H18" s="2">
        <v>10509.69</v>
      </c>
      <c r="I18" s="2" t="inlineStr">
        <is>
          <t>руб.</t>
        </is>
      </c>
    </row>
    <row r="19" spans="1:10" customHeight="0">
      <c r="A19" s="2" t="inlineStr">
        <is>
          <t>Счетчик воды</t>
        </is>
      </c>
      <c r="B19" s="2" t="inlineStr">
        <is>
          <t>Декаст</t>
        </is>
      </c>
      <c r="C19" s="2" t="inlineStr">
        <is>
          <t>72-15-481</t>
        </is>
      </c>
      <c r="D19" s="2" t="inlineStr">
        <is>
          <t>Счетчик воды универсальный Декаст ВСКМ-15 МИД Р (LoRaWan), IP54, латунный корпус, резьбовой, 80 мм, с комплектом монтажных частей</t>
        </is>
      </c>
      <c r="E19" s="2" t="inlineStr">
        <is>
          <t>**</t>
        </is>
      </c>
      <c r="F19" s="2" t="inlineStr">
        <is>
          <t>**</t>
        </is>
      </c>
      <c r="H19" s="2">
        <v>7799.3</v>
      </c>
      <c r="I19" s="2" t="inlineStr">
        <is>
          <t>руб.</t>
        </is>
      </c>
    </row>
    <row r="20" spans="1:10" customHeight="0">
      <c r="A20" s="2" t="inlineStr">
        <is>
          <t>Счетчик воды</t>
        </is>
      </c>
      <c r="B20" s="2" t="inlineStr">
        <is>
          <t>Декаст</t>
        </is>
      </c>
      <c r="C20" s="2" t="inlineStr">
        <is>
          <t>72-20-298</t>
        </is>
      </c>
      <c r="D20" s="2" t="inlineStr">
        <is>
          <t>Счетчик воды универсальный Декаст ВСКМ-20 МИД Р (LoRaWan), IP54, латунный корпус, резьбовой, 130 мм, с комплектом монтажных частей</t>
        </is>
      </c>
      <c r="E20" s="2" t="inlineStr">
        <is>
          <t>**</t>
        </is>
      </c>
      <c r="F20" s="2" t="inlineStr">
        <is>
          <t>**</t>
        </is>
      </c>
      <c r="H20" s="2">
        <v>10263.29</v>
      </c>
      <c r="I20" s="2" t="inlineStr">
        <is>
          <t>руб.</t>
        </is>
      </c>
    </row>
    <row r="21" spans="1:10" customHeight="0">
      <c r="A21" s="2" t="inlineStr">
        <is>
          <t>Счетчик воды</t>
        </is>
      </c>
      <c r="B21" s="2" t="inlineStr">
        <is>
          <t>Декаст</t>
        </is>
      </c>
      <c r="C21" s="2" t="inlineStr">
        <is>
          <t>72-20-482</t>
        </is>
      </c>
      <c r="D21" s="2" t="inlineStr">
        <is>
          <t>Счетчик воды универсальный Декаст ВСКМ-20 МИД Р (LoRaWan), IP54, латунный корпус, резьбовой, 190 мм, с комплектом монтажных частей</t>
        </is>
      </c>
      <c r="E21" s="2" t="inlineStr">
        <is>
          <t>**</t>
        </is>
      </c>
      <c r="F21" s="2" t="inlineStr">
        <is>
          <t>**</t>
        </is>
      </c>
      <c r="H21" s="2">
        <v>11322.81</v>
      </c>
      <c r="I21" s="2" t="inlineStr">
        <is>
          <t>руб.</t>
        </is>
      </c>
    </row>
    <row r="22" spans="1:10" customHeight="0">
      <c r="A22" s="2" t="inlineStr">
        <is>
          <t>Счетчик воды</t>
        </is>
      </c>
      <c r="B22" s="2" t="inlineStr">
        <is>
          <t>Декаст</t>
        </is>
      </c>
      <c r="C22" s="2" t="inlineStr">
        <is>
          <t>72-25-298</t>
        </is>
      </c>
      <c r="D22" s="2" t="inlineStr">
        <is>
          <t>Счетчик воды универсальный Декаст ВСКМ 90-25 МИД Р (LoRaWan), IP54, чугунный корпус, резьбовой, 260 мм, с комплектом монтажных частей</t>
        </is>
      </c>
      <c r="E22" s="2" t="inlineStr">
        <is>
          <t>**</t>
        </is>
      </c>
      <c r="F22" s="2" t="inlineStr">
        <is>
          <t>**</t>
        </is>
      </c>
      <c r="H22" s="2">
        <v>13853.68</v>
      </c>
      <c r="I22" s="2" t="inlineStr">
        <is>
          <t>руб.</t>
        </is>
      </c>
    </row>
    <row r="23" spans="1:10" customHeight="0">
      <c r="A23" s="2" t="inlineStr">
        <is>
          <t>Счетчик воды</t>
        </is>
      </c>
      <c r="B23" s="2" t="inlineStr">
        <is>
          <t>Декаст</t>
        </is>
      </c>
      <c r="C23" s="2" t="inlineStr">
        <is>
          <t>72-25-483</t>
        </is>
      </c>
      <c r="D23" s="2" t="inlineStr">
        <is>
          <t>Счетчик воды универсальный Декаст ВСКМ 90-25 МИД Р (LoRaWan), IP54, латунный корпус, резьбовой, 260 мм, с комплектом монтажных частей</t>
        </is>
      </c>
      <c r="E23" s="2" t="inlineStr">
        <is>
          <t>**</t>
        </is>
      </c>
      <c r="F23" s="2" t="inlineStr">
        <is>
          <t>**</t>
        </is>
      </c>
      <c r="H23" s="2">
        <v>18288.86</v>
      </c>
      <c r="I23" s="2" t="inlineStr">
        <is>
          <t>руб.</t>
        </is>
      </c>
    </row>
    <row r="24" spans="1:10" customHeight="0">
      <c r="A24" s="2" t="inlineStr">
        <is>
          <t>Счетчик воды</t>
        </is>
      </c>
      <c r="B24" s="2" t="inlineStr">
        <is>
          <t>Декаст</t>
        </is>
      </c>
      <c r="C24" s="2" t="inlineStr">
        <is>
          <t>72-32-298</t>
        </is>
      </c>
      <c r="D24" s="2" t="inlineStr">
        <is>
          <t>Счетчик воды универсальный Декаст ВСКМ 90-32 МИД Р (LoRaWan), IP54, чугунный корпус, резьбовой, 260 мм, с комплектом монтажных частей</t>
        </is>
      </c>
      <c r="E24" s="2" t="inlineStr">
        <is>
          <t>**</t>
        </is>
      </c>
      <c r="F24" s="2" t="inlineStr">
        <is>
          <t>**</t>
        </is>
      </c>
      <c r="H24" s="2">
        <v>15754.47</v>
      </c>
      <c r="I24" s="2" t="inlineStr">
        <is>
          <t>руб.</t>
        </is>
      </c>
    </row>
    <row r="25" spans="1:10" customHeight="0">
      <c r="A25" s="2" t="inlineStr">
        <is>
          <t>Счетчик воды</t>
        </is>
      </c>
      <c r="B25" s="2" t="inlineStr">
        <is>
          <t>Декаст</t>
        </is>
      </c>
      <c r="C25" s="2" t="inlineStr">
        <is>
          <t>72-32-483</t>
        </is>
      </c>
      <c r="D25" s="2" t="inlineStr">
        <is>
          <t>Счетчик воды универсальный Декаст ВСКМ 90-32 МИД Р (LoRaWan), IP54, латунный корпус, резьбовой, 260 мм, с комплектом монтажных частей</t>
        </is>
      </c>
      <c r="E25" s="2" t="inlineStr">
        <is>
          <t>**</t>
        </is>
      </c>
      <c r="F25" s="2" t="inlineStr">
        <is>
          <t>**</t>
        </is>
      </c>
      <c r="H25" s="2">
        <v>20823.25</v>
      </c>
      <c r="I25" s="2" t="inlineStr">
        <is>
          <t>руб.</t>
        </is>
      </c>
    </row>
    <row r="26" spans="1:10" customHeight="0">
      <c r="A26" s="2" t="inlineStr">
        <is>
          <t>Счетчик воды</t>
        </is>
      </c>
      <c r="B26" s="2" t="inlineStr">
        <is>
          <t>Декаст</t>
        </is>
      </c>
      <c r="C26" s="2" t="inlineStr">
        <is>
          <t>72-40-298</t>
        </is>
      </c>
      <c r="D26" s="2" t="inlineStr">
        <is>
          <t>Счетчик воды универсальный Декаст ВСКМ 90-40 МИД Р (LoRaWan), IP54, чугунный корпус, резьбовой,300 мм, с комплектом монтажных частей</t>
        </is>
      </c>
      <c r="E26" s="2" t="inlineStr">
        <is>
          <t>**</t>
        </is>
      </c>
      <c r="F26" s="2" t="inlineStr">
        <is>
          <t>**</t>
        </is>
      </c>
      <c r="H26" s="2">
        <v>21245.65</v>
      </c>
      <c r="I26" s="2" t="inlineStr">
        <is>
          <t>руб.</t>
        </is>
      </c>
    </row>
    <row r="27" spans="1:10" customHeight="0">
      <c r="A27" s="2" t="inlineStr">
        <is>
          <t>Счетчик воды</t>
        </is>
      </c>
      <c r="B27" s="2" t="inlineStr">
        <is>
          <t>Декаст</t>
        </is>
      </c>
      <c r="C27" s="2" t="inlineStr">
        <is>
          <t>72-40-483</t>
        </is>
      </c>
      <c r="D27" s="2" t="inlineStr">
        <is>
          <t>Счетчик воды универсальный Декаст ВСКМ 90-40 МИД Р (LoRaWan), IP54, латунный корпус, резьбовой, 300 мм, с комплектом монтажных частей</t>
        </is>
      </c>
      <c r="E27" s="2" t="inlineStr">
        <is>
          <t>**</t>
        </is>
      </c>
      <c r="F27" s="2" t="inlineStr">
        <is>
          <t>**</t>
        </is>
      </c>
      <c r="H27" s="2">
        <v>29031.86</v>
      </c>
      <c r="I27" s="2" t="inlineStr">
        <is>
          <t>руб.</t>
        </is>
      </c>
    </row>
    <row r="28" spans="1:10" customHeight="0">
      <c r="A28" s="2" t="inlineStr">
        <is>
          <t>Счетчик воды</t>
        </is>
      </c>
      <c r="B28" s="2" t="inlineStr">
        <is>
          <t>Декаст</t>
        </is>
      </c>
      <c r="C28" s="2" t="inlineStr">
        <is>
          <t>72-50-298</t>
        </is>
      </c>
      <c r="D28" s="2" t="inlineStr">
        <is>
          <t>Счетчик воды универсальный Декаст ВСКМ 90-50 МИД Р (LoRaWan), IP54, чугунный корпус, резьбовой, 300 мм, с комплектом монтажных частей</t>
        </is>
      </c>
      <c r="E28" s="2" t="inlineStr">
        <is>
          <t>**</t>
        </is>
      </c>
      <c r="F28" s="2" t="inlineStr">
        <is>
          <t>**</t>
        </is>
      </c>
      <c r="H28" s="2">
        <v>26173.63</v>
      </c>
      <c r="I28" s="2" t="inlineStr">
        <is>
          <t>руб.</t>
        </is>
      </c>
    </row>
    <row r="29" spans="1:10" customHeight="0">
      <c r="A29" s="2" t="inlineStr">
        <is>
          <t>Счетчик воды</t>
        </is>
      </c>
      <c r="B29" s="2" t="inlineStr">
        <is>
          <t>Декаст</t>
        </is>
      </c>
      <c r="C29" s="2" t="inlineStr">
        <is>
          <t>72-50-483</t>
        </is>
      </c>
      <c r="D29" s="2" t="inlineStr">
        <is>
          <t>Счетчик воды универсальный Декаст ВСКМ 90-50 МИД Р (LoRaWan), IP54, латунный корпус, резьбовой, 300 мм, с комплектом монтажных частей</t>
        </is>
      </c>
      <c r="E29" s="2" t="inlineStr">
        <is>
          <t>**</t>
        </is>
      </c>
      <c r="F29" s="2" t="inlineStr">
        <is>
          <t>**</t>
        </is>
      </c>
      <c r="H29" s="2">
        <v>36029.59</v>
      </c>
      <c r="I29" s="2" t="inlineStr">
        <is>
          <t>руб.</t>
        </is>
      </c>
    </row>
    <row r="30" spans="1:10" customHeight="0">
      <c r="A30" s="2" t="inlineStr">
        <is>
          <t>Счетчик воды</t>
        </is>
      </c>
      <c r="B30" s="2" t="inlineStr">
        <is>
          <t>Декаст</t>
        </is>
      </c>
      <c r="C30" s="2" t="inlineStr">
        <is>
          <t>72-50-307</t>
        </is>
      </c>
      <c r="D30" s="2" t="inlineStr">
        <is>
          <t>Счетчик воды универсальный Декаст ВСКМ 90-50 Ф МИД Р (LoRaWan), IP54, чугунный корпус, фланцевый, 300 мм</t>
        </is>
      </c>
      <c r="E30" s="2" t="inlineStr">
        <is>
          <t>**</t>
        </is>
      </c>
      <c r="F30" s="2" t="inlineStr">
        <is>
          <t>**</t>
        </is>
      </c>
      <c r="H30" s="2">
        <v>25927.23</v>
      </c>
      <c r="I30" s="2" t="inlineStr">
        <is>
          <t>руб.</t>
        </is>
      </c>
    </row>
    <row r="31" spans="1:10" customHeight="0">
      <c r="A31" s="2" t="inlineStr">
        <is>
          <t>Счетчик воды</t>
        </is>
      </c>
      <c r="B31" s="2" t="inlineStr">
        <is>
          <t>Декаст</t>
        </is>
      </c>
      <c r="C31" s="2" t="inlineStr">
        <is>
          <t>72-25-480</t>
        </is>
      </c>
      <c r="D31" s="2" t="inlineStr">
        <is>
          <t>Счетчик воды Декаст ВСКМ 90Х-25 Класс "С" МИД Р (LoRaWan), IP68, латунный корпус, резьбовой, 260 мм, с комплектом монтажных частей</t>
        </is>
      </c>
      <c r="E31" s="2" t="inlineStr">
        <is>
          <t>**</t>
        </is>
      </c>
      <c r="F31" s="2" t="inlineStr">
        <is>
          <t>**</t>
        </is>
      </c>
      <c r="H31" s="2">
        <v>21492.05</v>
      </c>
      <c r="I31" s="2" t="inlineStr">
        <is>
          <t>руб.</t>
        </is>
      </c>
    </row>
    <row r="32" spans="1:10" customHeight="0">
      <c r="A32" s="2" t="inlineStr">
        <is>
          <t>Счетчик воды</t>
        </is>
      </c>
      <c r="B32" s="2" t="inlineStr">
        <is>
          <t>Декаст</t>
        </is>
      </c>
      <c r="C32" s="2" t="inlineStr">
        <is>
          <t>72-32-480</t>
        </is>
      </c>
      <c r="D32" s="2" t="inlineStr">
        <is>
          <t>Счетчик воды Декаст ВСКМ 90Х-32 Класс "С" МИД Р (LoRaWan), IP68, латунный корпус, резьбовой, 260 мм, с комплектом монтажных частей</t>
        </is>
      </c>
      <c r="E32" s="2" t="inlineStr">
        <is>
          <t>**</t>
        </is>
      </c>
      <c r="F32" s="2" t="inlineStr">
        <is>
          <t>**</t>
        </is>
      </c>
      <c r="H32" s="2">
        <v>24522.76</v>
      </c>
      <c r="I32" s="2" t="inlineStr">
        <is>
          <t>руб.</t>
        </is>
      </c>
    </row>
    <row r="33" spans="1:10" customHeight="0">
      <c r="A33" s="2" t="inlineStr">
        <is>
          <t>Счетчик воды</t>
        </is>
      </c>
      <c r="B33" s="2" t="inlineStr">
        <is>
          <t>Декаст</t>
        </is>
      </c>
      <c r="C33" s="2" t="inlineStr">
        <is>
          <t>72-40-480</t>
        </is>
      </c>
      <c r="D33" s="2" t="inlineStr">
        <is>
          <t>Счетчик воды Декаст ВСКМ 90Х-40 Класс "С" МИД Р (LoRaWan), IP68, латунный корпус, резьбовой, 300 мм, с комплектом монтажных частей</t>
        </is>
      </c>
      <c r="E33" s="2" t="inlineStr">
        <is>
          <t>**</t>
        </is>
      </c>
      <c r="F33" s="2" t="inlineStr">
        <is>
          <t>**</t>
        </is>
      </c>
      <c r="H33" s="2">
        <v>37335.5</v>
      </c>
      <c r="I33" s="2" t="inlineStr">
        <is>
          <t>руб.</t>
        </is>
      </c>
    </row>
    <row r="34" spans="1:10" customHeight="0">
      <c r="A34" s="2" t="inlineStr">
        <is>
          <t>Счетчик воды</t>
        </is>
      </c>
      <c r="B34" s="2" t="inlineStr">
        <is>
          <t>Декаст</t>
        </is>
      </c>
      <c r="C34" s="2" t="inlineStr">
        <is>
          <t>72-50-480</t>
        </is>
      </c>
      <c r="D34" s="2" t="inlineStr">
        <is>
          <t>Счетчик воды Декаст ВСКМ 90Х-50 Класс "С" МИД Р (LoRaWan), IP68, латунный корпус, резьбовой, 300 мм, с комплектом монтажных частей</t>
        </is>
      </c>
      <c r="E34" s="2" t="inlineStr">
        <is>
          <t>**</t>
        </is>
      </c>
      <c r="F34" s="2" t="inlineStr">
        <is>
          <t>**</t>
        </is>
      </c>
      <c r="H34" s="2">
        <v>46728.23</v>
      </c>
      <c r="I34" s="2" t="inlineStr">
        <is>
          <t>руб.</t>
        </is>
      </c>
    </row>
    <row r="35" spans="1:10" customHeight="0">
      <c r="A35" s="2" t="inlineStr">
        <is>
          <t>Счетчик воды</t>
        </is>
      </c>
      <c r="B35" s="2" t="inlineStr">
        <is>
          <t>Декаст</t>
        </is>
      </c>
      <c r="C35" s="2" t="inlineStr">
        <is>
          <t>76-25-298</t>
        </is>
      </c>
      <c r="D35" s="2" t="inlineStr">
        <is>
          <t>Счетчик воды Декаст ОСВХ-25 НЕПТУН МИД Р (LoRaWan), IP54, латунный корпус, резьбовой, 170 мм, с комплектом монтажных частей</t>
        </is>
      </c>
      <c r="E35" s="2" t="inlineStr">
        <is>
          <t>**</t>
        </is>
      </c>
      <c r="F35" s="2" t="inlineStr">
        <is>
          <t>**</t>
        </is>
      </c>
      <c r="H35" s="2">
        <v>14185.96</v>
      </c>
      <c r="I35" s="2" t="inlineStr">
        <is>
          <t>руб.</t>
        </is>
      </c>
    </row>
    <row r="36" spans="1:10" customHeight="0">
      <c r="A36" s="2" t="inlineStr">
        <is>
          <t>Счетчик воды</t>
        </is>
      </c>
      <c r="B36" s="2" t="inlineStr">
        <is>
          <t>Декаст</t>
        </is>
      </c>
      <c r="C36" s="2" t="inlineStr">
        <is>
          <t>76-32-298</t>
        </is>
      </c>
      <c r="D36" s="2" t="inlineStr">
        <is>
          <t>Счетчик воды Декаст ОСВХ-32 НЕПТУН МИД Р (LoRaWan), IP54, латунный корпус, резьбовой, 170 мм, с комплектом монтажных частей</t>
        </is>
      </c>
      <c r="E36" s="2" t="inlineStr">
        <is>
          <t>**</t>
        </is>
      </c>
      <c r="F36" s="2" t="inlineStr">
        <is>
          <t>**</t>
        </is>
      </c>
      <c r="H36" s="2">
        <v>17570.78</v>
      </c>
      <c r="I36" s="2" t="inlineStr">
        <is>
          <t>руб.</t>
        </is>
      </c>
    </row>
    <row r="37" spans="1:10" customHeight="0">
      <c r="A37" s="2" t="inlineStr">
        <is>
          <t>Счетчик воды</t>
        </is>
      </c>
      <c r="B37" s="2" t="inlineStr">
        <is>
          <t>Декаст</t>
        </is>
      </c>
      <c r="C37" s="2" t="inlineStr">
        <is>
          <t>76-40-298</t>
        </is>
      </c>
      <c r="D37" s="2" t="inlineStr">
        <is>
          <t>Счетчик воды Декаст ОСВХ-40 НЕПТУН МИД Р (LoRaWan), IP54, латунный корпус, резьбовой, 190 мм, с комплектом монтажных частей</t>
        </is>
      </c>
      <c r="E37" s="2" t="inlineStr">
        <is>
          <t>**</t>
        </is>
      </c>
      <c r="F37" s="2" t="inlineStr">
        <is>
          <t>**</t>
        </is>
      </c>
      <c r="H37" s="2">
        <v>23005.64</v>
      </c>
      <c r="I37" s="2" t="inlineStr">
        <is>
          <t>руб.</t>
        </is>
      </c>
    </row>
    <row r="38" spans="1:10" customHeight="0">
      <c r="A38" s="2" t="inlineStr">
        <is>
          <t>Счетчик воды</t>
        </is>
      </c>
      <c r="B38" s="2" t="inlineStr">
        <is>
          <t>Декаст</t>
        </is>
      </c>
      <c r="C38" s="2" t="inlineStr">
        <is>
          <t>75-25-298</t>
        </is>
      </c>
      <c r="D38" s="2" t="inlineStr">
        <is>
          <t>Счетчик воды универсальный Декаст ОСВУ-25 НЕПТУН МИД Р (LoRaWan), IP54, латунный корпус, резьбовой, 170 мм, с комплектом монтажных частей</t>
        </is>
      </c>
      <c r="E38" s="2" t="inlineStr">
        <is>
          <t>**</t>
        </is>
      </c>
      <c r="F38" s="2" t="inlineStr">
        <is>
          <t>**</t>
        </is>
      </c>
      <c r="H38" s="2">
        <v>14839.27</v>
      </c>
      <c r="I38" s="2" t="inlineStr">
        <is>
          <t>руб.</t>
        </is>
      </c>
    </row>
    <row r="39" spans="1:10" customHeight="0">
      <c r="A39" s="2" t="inlineStr">
        <is>
          <t>Счетчик воды</t>
        </is>
      </c>
      <c r="B39" s="2" t="inlineStr">
        <is>
          <t>Декаст</t>
        </is>
      </c>
      <c r="C39" s="2" t="inlineStr">
        <is>
          <t>75-32-298</t>
        </is>
      </c>
      <c r="D39" s="2" t="inlineStr">
        <is>
          <t>Счетчик воды универсальный Декаст ОСВУ-32 НЕПТУН МИД Р (LoRaWan), IP54, латунный корпус, резьбовой, 170 мм, с комплектом монтажных частей</t>
        </is>
      </c>
      <c r="E39" s="2" t="inlineStr">
        <is>
          <t>**</t>
        </is>
      </c>
      <c r="F39" s="2" t="inlineStr">
        <is>
          <t>**</t>
        </is>
      </c>
      <c r="H39" s="2">
        <v>18781.66</v>
      </c>
      <c r="I39" s="2" t="inlineStr">
        <is>
          <t>руб.</t>
        </is>
      </c>
    </row>
    <row r="40" spans="1:10" customHeight="0">
      <c r="A40" s="2" t="inlineStr">
        <is>
          <t>Счетчик воды</t>
        </is>
      </c>
      <c r="B40" s="2" t="inlineStr">
        <is>
          <t>Декаст</t>
        </is>
      </c>
      <c r="C40" s="2" t="inlineStr">
        <is>
          <t>75-40-298</t>
        </is>
      </c>
      <c r="D40" s="2" t="inlineStr">
        <is>
          <t>Счетчик воды универсальный Декаст ОСВУ-40 НЕПТУН МИД Р (LoRaWan), IP54, латунный корпус, резьбовой, 190 мм, с комплектом монтажных частей</t>
        </is>
      </c>
      <c r="E40" s="2" t="inlineStr">
        <is>
          <t>**</t>
        </is>
      </c>
      <c r="F40" s="2" t="inlineStr">
        <is>
          <t>**</t>
        </is>
      </c>
      <c r="H40" s="2">
        <v>23287.24</v>
      </c>
      <c r="I40" s="2" t="inlineStr">
        <is>
          <t>руб.</t>
        </is>
      </c>
    </row>
    <row r="41" spans="1:10" customHeight="0">
      <c r="A41" s="2" t="inlineStr">
        <is>
          <t>Счетчик воды</t>
        </is>
      </c>
      <c r="B41" s="2" t="inlineStr">
        <is>
          <t>Декаст</t>
        </is>
      </c>
      <c r="C41" s="2" t="inlineStr">
        <is>
          <t>76-25-303</t>
        </is>
      </c>
      <c r="D41" s="2" t="inlineStr">
        <is>
          <t>Счетчик воды Декаст ОСВХ-25 "НЕПТУН" Класс "С" МИД Р (LoRaWan), IP54, латунный корпус, резьбовой, 170 мм, с комплектом монтажных частей</t>
        </is>
      </c>
      <c r="E41" s="2" t="inlineStr">
        <is>
          <t>**</t>
        </is>
      </c>
      <c r="F41" s="2" t="inlineStr">
        <is>
          <t>**</t>
        </is>
      </c>
      <c r="H41" s="2">
        <v>17655.26</v>
      </c>
      <c r="I41" s="2" t="inlineStr">
        <is>
          <t>руб.</t>
        </is>
      </c>
    </row>
    <row r="42" spans="1:10" customHeight="0">
      <c r="A42" s="2" t="inlineStr">
        <is>
          <t>Счетчик воды</t>
        </is>
      </c>
      <c r="B42" s="2" t="inlineStr">
        <is>
          <t>Декаст</t>
        </is>
      </c>
      <c r="C42" s="2" t="inlineStr">
        <is>
          <t>76-32-303</t>
        </is>
      </c>
      <c r="D42" s="2" t="inlineStr">
        <is>
          <t>Счетчик воды Декаст ОСВХ-32 "НЕПТУН" Класс "С" МИД Р (LoRaWan), IP54, латунный корпус, резьбовой, 170 мм, с комплектом монтажных частей</t>
        </is>
      </c>
      <c r="E42" s="2" t="inlineStr">
        <is>
          <t>**</t>
        </is>
      </c>
      <c r="F42" s="2" t="inlineStr">
        <is>
          <t>**</t>
        </is>
      </c>
      <c r="H42" s="2">
        <v>23287.24</v>
      </c>
      <c r="I42" s="2" t="inlineStr">
        <is>
          <t>руб.</t>
        </is>
      </c>
    </row>
    <row r="43" spans="1:10" customHeight="0">
      <c r="A43" s="2" t="inlineStr">
        <is>
          <t>Счетчик воды</t>
        </is>
      </c>
      <c r="B43" s="2" t="inlineStr">
        <is>
          <t>Декаст</t>
        </is>
      </c>
      <c r="C43" s="2" t="inlineStr">
        <is>
          <t>76-40-303</t>
        </is>
      </c>
      <c r="D43" s="2" t="inlineStr">
        <is>
          <t>Счетчик воды Декаст ОСВХ-40 "НЕПТУН" Класс "С" МИД Р (LoRaWan), IP54, латунный корпус, резьбовой, 190 мм, с комплектом монтажных частей</t>
        </is>
      </c>
      <c r="E43" s="2" t="inlineStr">
        <is>
          <t>**</t>
        </is>
      </c>
      <c r="F43" s="2" t="inlineStr">
        <is>
          <t>**</t>
        </is>
      </c>
      <c r="H43" s="2">
        <v>30327.21</v>
      </c>
      <c r="I43" s="2" t="inlineStr">
        <is>
          <t>руб.</t>
        </is>
      </c>
    </row>
    <row r="44" spans="1:10" customHeight="0">
      <c r="A44" s="2" t="inlineStr">
        <is>
          <t>Счетчик воды</t>
        </is>
      </c>
      <c r="B44" s="2" t="inlineStr">
        <is>
          <t>Декаст</t>
        </is>
      </c>
      <c r="C44" s="2" t="inlineStr">
        <is>
          <t>77-100-484</t>
        </is>
      </c>
      <c r="D44" s="2" t="inlineStr">
        <is>
          <t>Счетчик воды универсальный Декаст СТВУ-100 МИД Р (LoRaWan), IP68, чугунный корпус, турбинный, фланцевый, 250 мм</t>
        </is>
      </c>
      <c r="E44" s="2" t="inlineStr">
        <is>
          <t>**</t>
        </is>
      </c>
      <c r="F44" s="2" t="inlineStr">
        <is>
          <t>**</t>
        </is>
      </c>
      <c r="H44" s="2">
        <v>59050.3</v>
      </c>
      <c r="I44" s="2" t="inlineStr">
        <is>
          <t>руб.</t>
        </is>
      </c>
    </row>
    <row r="45" spans="1:10" customHeight="0">
      <c r="A45" s="2" t="inlineStr">
        <is>
          <t>Счетчик воды</t>
        </is>
      </c>
      <c r="B45" s="2" t="inlineStr">
        <is>
          <t>Декаст</t>
        </is>
      </c>
      <c r="C45" s="2" t="inlineStr">
        <is>
          <t>77-100-486</t>
        </is>
      </c>
      <c r="D45" s="2" t="inlineStr">
        <is>
          <t>Счетчик воды универсальный Декаст СТВУ-100 УК МИД Р (LoRaWan), IP68, чугунный удлиненный корпус, турбинный, фланцевый, 300 мм</t>
        </is>
      </c>
      <c r="E45" s="2" t="inlineStr">
        <is>
          <t>**</t>
        </is>
      </c>
      <c r="F45" s="2" t="inlineStr">
        <is>
          <t>**</t>
        </is>
      </c>
      <c r="H45" s="2">
        <v>65352.48</v>
      </c>
      <c r="I45" s="2" t="inlineStr">
        <is>
          <t>руб.</t>
        </is>
      </c>
    </row>
    <row r="46" spans="1:10" customHeight="0">
      <c r="A46" s="2" t="inlineStr">
        <is>
          <t>Счетчик воды</t>
        </is>
      </c>
      <c r="B46" s="2" t="inlineStr">
        <is>
          <t>Декаст</t>
        </is>
      </c>
      <c r="C46" s="2" t="inlineStr">
        <is>
          <t>77-150-484</t>
        </is>
      </c>
      <c r="D46" s="2" t="inlineStr">
        <is>
          <t>Счетчик воды универсальный Декаст СТВУ-150 МИД Р (LoRaWan), IP68, чугунный корпус, турбинный, фланцевый, 300 мм</t>
        </is>
      </c>
      <c r="E46" s="2" t="inlineStr">
        <is>
          <t>**</t>
        </is>
      </c>
      <c r="F46" s="2" t="inlineStr">
        <is>
          <t>**</t>
        </is>
      </c>
      <c r="H46" s="2">
        <v>83831</v>
      </c>
      <c r="I46" s="2" t="inlineStr">
        <is>
          <t>руб.</t>
        </is>
      </c>
    </row>
    <row r="47" spans="1:10" customHeight="0">
      <c r="A47" s="2" t="inlineStr">
        <is>
          <t>Счетчик воды</t>
        </is>
      </c>
      <c r="B47" s="2" t="inlineStr">
        <is>
          <t>Декаст</t>
        </is>
      </c>
      <c r="C47" s="2" t="inlineStr">
        <is>
          <t>77-200-484</t>
        </is>
      </c>
      <c r="D47" s="2" t="inlineStr">
        <is>
          <t>Счетчик воды универсальный Декаст СТВУ-200 МИД Р (LoRaWan), IP68, чугунный корпус, турбинный, фланцевый, 350 мм</t>
        </is>
      </c>
      <c r="E47" s="2" t="inlineStr">
        <is>
          <t>**</t>
        </is>
      </c>
      <c r="F47" s="2" t="inlineStr">
        <is>
          <t>**</t>
        </is>
      </c>
      <c r="H47" s="2">
        <v>139635.45</v>
      </c>
      <c r="I47" s="2" t="inlineStr">
        <is>
          <t>руб.</t>
        </is>
      </c>
    </row>
    <row r="48" spans="1:10" customHeight="0">
      <c r="A48" s="2" t="inlineStr">
        <is>
          <t>Счетчик воды</t>
        </is>
      </c>
      <c r="B48" s="2" t="inlineStr">
        <is>
          <t>Декаст</t>
        </is>
      </c>
      <c r="C48" s="2" t="inlineStr">
        <is>
          <t>77-50-484</t>
        </is>
      </c>
      <c r="D48" s="2" t="inlineStr">
        <is>
          <t>Счетчик воды универсальный Декаст СТВУ-50 МИД Р (LoRaWan), IP68, чугунный корпус, турбинный, фланцевый, 200 мм</t>
        </is>
      </c>
      <c r="E48" s="2" t="inlineStr">
        <is>
          <t>**</t>
        </is>
      </c>
      <c r="F48" s="2" t="inlineStr">
        <is>
          <t>**</t>
        </is>
      </c>
      <c r="H48" s="2">
        <v>42802.04</v>
      </c>
      <c r="I48" s="2" t="inlineStr">
        <is>
          <t>руб.</t>
        </is>
      </c>
    </row>
    <row r="49" spans="1:10" customHeight="0">
      <c r="A49" s="2" t="inlineStr">
        <is>
          <t>Счетчик воды</t>
        </is>
      </c>
      <c r="B49" s="2" t="inlineStr">
        <is>
          <t>Декаст</t>
        </is>
      </c>
      <c r="C49" s="2" t="inlineStr">
        <is>
          <t>77-65-484</t>
        </is>
      </c>
      <c r="D49" s="2" t="inlineStr">
        <is>
          <t>Счетчик воды универсальный Декаст СТВУ-65 МИД Р (LoRaWan), IP68, чугунный корпус, турбинный, фланцевый, 200 мм</t>
        </is>
      </c>
      <c r="E49" s="2" t="inlineStr">
        <is>
          <t>**</t>
        </is>
      </c>
      <c r="F49" s="2" t="inlineStr">
        <is>
          <t>**</t>
        </is>
      </c>
      <c r="H49" s="2">
        <v>46096.75</v>
      </c>
      <c r="I49" s="2" t="inlineStr">
        <is>
          <t>руб.</t>
        </is>
      </c>
    </row>
    <row r="50" spans="1:10" customHeight="0">
      <c r="A50" s="2" t="inlineStr">
        <is>
          <t>Счетчик воды</t>
        </is>
      </c>
      <c r="B50" s="2" t="inlineStr">
        <is>
          <t>Декаст</t>
        </is>
      </c>
      <c r="C50" s="2" t="inlineStr">
        <is>
          <t>77-65-486</t>
        </is>
      </c>
      <c r="D50" s="2" t="inlineStr">
        <is>
          <t>Счетчик воды универсальный Декаст СТВУ-65 УК МИД Р (LoRaWan), IP68, чугунный удлиненный корпус, турбинный, фланцевый, 260 мм</t>
        </is>
      </c>
      <c r="E50" s="2" t="inlineStr">
        <is>
          <t>**</t>
        </is>
      </c>
      <c r="F50" s="2" t="inlineStr">
        <is>
          <t>**</t>
        </is>
      </c>
      <c r="H50" s="2">
        <v>53263.44</v>
      </c>
      <c r="I50" s="2" t="inlineStr">
        <is>
          <t>руб.</t>
        </is>
      </c>
    </row>
    <row r="51" spans="1:10" customHeight="0">
      <c r="A51" s="2" t="inlineStr">
        <is>
          <t>Счетчик воды</t>
        </is>
      </c>
      <c r="B51" s="2" t="inlineStr">
        <is>
          <t>Декаст</t>
        </is>
      </c>
      <c r="C51" s="2" t="inlineStr">
        <is>
          <t>77-80-484</t>
        </is>
      </c>
      <c r="D51" s="2" t="inlineStr">
        <is>
          <t>Счетчик воды универсальный Декаст СТВУ-80 МИД Р (LoRaWan), IP68, чугунный корпус, турбинный, фланцевый, 225 мм</t>
        </is>
      </c>
      <c r="E51" s="2" t="inlineStr">
        <is>
          <t>**</t>
        </is>
      </c>
      <c r="F51" s="2" t="inlineStr">
        <is>
          <t>**</t>
        </is>
      </c>
      <c r="H51" s="2">
        <v>50039.13</v>
      </c>
      <c r="I51" s="2" t="inlineStr">
        <is>
          <t>руб.</t>
        </is>
      </c>
    </row>
    <row r="52" spans="1:10" customHeight="0">
      <c r="A52" s="2" t="inlineStr">
        <is>
          <t>Счетчик воды</t>
        </is>
      </c>
      <c r="B52" s="2" t="inlineStr">
        <is>
          <t>Декаст</t>
        </is>
      </c>
      <c r="C52" s="2" t="inlineStr">
        <is>
          <t>77-80-486</t>
        </is>
      </c>
      <c r="D52" s="2" t="inlineStr">
        <is>
          <t>Счетчик воды универсальный Декаст СТВУ-80 УК МИД Р (LoRaWan), IP68, чугунный удлиненный корпус, турбинный, фланцевый, 270 мм</t>
        </is>
      </c>
      <c r="E52" s="2" t="inlineStr">
        <is>
          <t>**</t>
        </is>
      </c>
      <c r="F52" s="2" t="inlineStr">
        <is>
          <t>**</t>
        </is>
      </c>
      <c r="H52" s="2">
        <v>55012.17</v>
      </c>
      <c r="I52" s="2" t="inlineStr">
        <is>
          <t>руб.</t>
        </is>
      </c>
    </row>
    <row r="53" spans="1:10" customHeight="0">
      <c r="A53" s="2" t="inlineStr">
        <is>
          <t>Счетчик воды</t>
        </is>
      </c>
      <c r="B53" s="2" t="inlineStr">
        <is>
          <t>Декаст</t>
        </is>
      </c>
      <c r="C53" s="2" t="inlineStr">
        <is>
          <t>711-100-303</t>
        </is>
      </c>
      <c r="D53" s="2" t="inlineStr">
        <is>
          <t>Счетчик воды Декаст СТВХ-100 "СТРИМ" Класс  "С" МИД Р (LoRaWan), IP68, чугунный корпус, турбинный, фланцевый, 250 мм</t>
        </is>
      </c>
      <c r="E53" s="2" t="inlineStr">
        <is>
          <t>**</t>
        </is>
      </c>
      <c r="F53" s="2" t="inlineStr">
        <is>
          <t>**</t>
        </is>
      </c>
      <c r="H53" s="2">
        <v>53981.52</v>
      </c>
      <c r="I53" s="2" t="inlineStr">
        <is>
          <t>руб.</t>
        </is>
      </c>
    </row>
    <row r="54" spans="1:10" customHeight="0">
      <c r="A54" s="2" t="inlineStr">
        <is>
          <t>Счетчик воды</t>
        </is>
      </c>
      <c r="B54" s="2" t="inlineStr">
        <is>
          <t>Декаст</t>
        </is>
      </c>
      <c r="C54" s="2" t="inlineStr">
        <is>
          <t>78-100-484</t>
        </is>
      </c>
      <c r="D54" s="2" t="inlineStr">
        <is>
          <t>Счетчик воды Декаст СТВХ-100 МИД Р (LoRaWan), IP68, чугунный корпус, турбинный, фланцевый, 250 мм</t>
        </is>
      </c>
      <c r="E54" s="2" t="inlineStr">
        <is>
          <t>**</t>
        </is>
      </c>
      <c r="F54" s="2" t="inlineStr">
        <is>
          <t>**</t>
        </is>
      </c>
      <c r="H54" s="2">
        <v>46659.95</v>
      </c>
      <c r="I54" s="2" t="inlineStr">
        <is>
          <t>руб.</t>
        </is>
      </c>
    </row>
    <row r="55" spans="1:10" customHeight="0">
      <c r="A55" s="2" t="inlineStr">
        <is>
          <t>Счетчик воды</t>
        </is>
      </c>
      <c r="B55" s="2" t="inlineStr">
        <is>
          <t>Декаст</t>
        </is>
      </c>
      <c r="C55" s="2" t="inlineStr">
        <is>
          <t>78-100-486</t>
        </is>
      </c>
      <c r="D55" s="2" t="inlineStr">
        <is>
          <t>Счетчик воды Декаст СТВХ-100 УК МИД Р (LoRaWan), IP68, чугунный удлиненный корпус, турбинный, фланцевый, 300 мм</t>
        </is>
      </c>
      <c r="E55" s="2" t="inlineStr">
        <is>
          <t>**</t>
        </is>
      </c>
      <c r="F55" s="2" t="inlineStr">
        <is>
          <t>**</t>
        </is>
      </c>
      <c r="H55" s="2">
        <v>53035.35</v>
      </c>
      <c r="I55" s="2" t="inlineStr">
        <is>
          <t>руб.</t>
        </is>
      </c>
    </row>
    <row r="56" spans="1:10" customHeight="0">
      <c r="A56" s="2" t="inlineStr">
        <is>
          <t>Счетчик воды</t>
        </is>
      </c>
      <c r="B56" s="2" t="inlineStr">
        <is>
          <t>Декаст</t>
        </is>
      </c>
      <c r="C56" s="2" t="inlineStr">
        <is>
          <t>711-150-303</t>
        </is>
      </c>
      <c r="D56" s="2" t="inlineStr">
        <is>
          <t>Счетчик воды Декаст СТВХ-150 "СТРИМ" Класс  "С" МИД Р (LoRaWan), IP68, чугунный корпус, турбинный, фланцевый, 300 мм</t>
        </is>
      </c>
      <c r="E56" s="2" t="inlineStr">
        <is>
          <t>**</t>
        </is>
      </c>
      <c r="F56" s="2" t="inlineStr">
        <is>
          <t>**</t>
        </is>
      </c>
      <c r="H56" s="2">
        <v>75383.03</v>
      </c>
      <c r="I56" s="2" t="inlineStr">
        <is>
          <t>руб.</t>
        </is>
      </c>
    </row>
    <row r="57" spans="1:10" customHeight="0">
      <c r="A57" s="2" t="inlineStr">
        <is>
          <t>Счетчик воды</t>
        </is>
      </c>
      <c r="B57" s="2" t="inlineStr">
        <is>
          <t>Декаст</t>
        </is>
      </c>
      <c r="C57" s="2" t="inlineStr">
        <is>
          <t>78-150-484</t>
        </is>
      </c>
      <c r="D57" s="2" t="inlineStr">
        <is>
          <t>Счетчик воды Декаст СТВХ-150 МИД Р (LoRaWan), IP68, чугунный корпус, турбинный, фланцевый, 300 мм</t>
        </is>
      </c>
      <c r="E57" s="2" t="inlineStr">
        <is>
          <t>**</t>
        </is>
      </c>
      <c r="F57" s="2" t="inlineStr">
        <is>
          <t>**</t>
        </is>
      </c>
      <c r="H57" s="2">
        <v>69751.05</v>
      </c>
      <c r="I57" s="2" t="inlineStr">
        <is>
          <t>руб.</t>
        </is>
      </c>
    </row>
    <row r="58" spans="1:10" customHeight="0">
      <c r="A58" s="2" t="inlineStr">
        <is>
          <t>Счетчик воды</t>
        </is>
      </c>
      <c r="B58" s="2" t="inlineStr">
        <is>
          <t>Декаст</t>
        </is>
      </c>
      <c r="C58" s="2" t="inlineStr">
        <is>
          <t>711-200-303</t>
        </is>
      </c>
      <c r="D58" s="2" t="inlineStr">
        <is>
          <t>Счетчик воды Декаст СТВХ-200 "СТРИМ" Класс  "С" МИД Р (LoRaWan), IP68, чугунный корпус, турбинный, фланцевый, 350 мм</t>
        </is>
      </c>
      <c r="E58" s="2" t="inlineStr">
        <is>
          <t>**</t>
        </is>
      </c>
      <c r="F58" s="2" t="inlineStr">
        <is>
          <t>**</t>
        </is>
      </c>
      <c r="H58" s="2">
        <v>123818.04</v>
      </c>
      <c r="I58" s="2" t="inlineStr">
        <is>
          <t>руб.</t>
        </is>
      </c>
    </row>
    <row r="59" spans="1:10" customHeight="0">
      <c r="A59" s="2" t="inlineStr">
        <is>
          <t>Счетчик воды</t>
        </is>
      </c>
      <c r="B59" s="2" t="inlineStr">
        <is>
          <t>Декаст</t>
        </is>
      </c>
      <c r="C59" s="2" t="inlineStr">
        <is>
          <t>78-200-484</t>
        </is>
      </c>
      <c r="D59" s="2" t="inlineStr">
        <is>
          <t>Счетчик воды Декаст СТВХ-200 МИД Р (LoRaWan), IP68, чугунный корпус, турбинный, фланцевый, 350 мм</t>
        </is>
      </c>
      <c r="E59" s="2" t="inlineStr">
        <is>
          <t>**</t>
        </is>
      </c>
      <c r="F59" s="2" t="inlineStr">
        <is>
          <t>**</t>
        </is>
      </c>
      <c r="H59" s="2">
        <v>115933.27</v>
      </c>
      <c r="I59" s="2" t="inlineStr">
        <is>
          <t>руб.</t>
        </is>
      </c>
    </row>
    <row r="60" spans="1:10" customHeight="0">
      <c r="A60" s="2" t="inlineStr">
        <is>
          <t>Счетчик воды</t>
        </is>
      </c>
      <c r="B60" s="2" t="inlineStr">
        <is>
          <t>Декаст</t>
        </is>
      </c>
      <c r="C60" s="2" t="inlineStr">
        <is>
          <t>711-50-303</t>
        </is>
      </c>
      <c r="D60" s="2" t="inlineStr">
        <is>
          <t>Счетчик воды Декаст СТВХ-50 "СТРИМ" Класс  "С" МИД Р (LoRaWan), IP68, чугунный корпус, турбинный, фланцевый, 200 мм</t>
        </is>
      </c>
      <c r="E60" s="2" t="inlineStr">
        <is>
          <t>**</t>
        </is>
      </c>
      <c r="F60" s="2" t="inlineStr">
        <is>
          <t>**</t>
        </is>
      </c>
      <c r="H60" s="2">
        <v>41591.17</v>
      </c>
      <c r="I60" s="2" t="inlineStr">
        <is>
          <t>руб.</t>
        </is>
      </c>
    </row>
    <row r="61" spans="1:10" customHeight="0">
      <c r="A61" s="2" t="inlineStr">
        <is>
          <t>Счетчик воды</t>
        </is>
      </c>
      <c r="B61" s="2" t="inlineStr">
        <is>
          <t>Декаст</t>
        </is>
      </c>
      <c r="C61" s="2" t="inlineStr">
        <is>
          <t>78-50-484</t>
        </is>
      </c>
      <c r="D61" s="2" t="inlineStr">
        <is>
          <t>Счетчик воды Декаст СТВХ-50 МИД Р (LoRaWan), IP68, чугунный корпус, турбинный, фланцевый, 200 мм</t>
        </is>
      </c>
      <c r="E61" s="2" t="inlineStr">
        <is>
          <t>**</t>
        </is>
      </c>
      <c r="F61" s="2" t="inlineStr">
        <is>
          <t>**</t>
        </is>
      </c>
      <c r="H61" s="2">
        <v>35395.99</v>
      </c>
      <c r="I61" s="2" t="inlineStr">
        <is>
          <t>руб.</t>
        </is>
      </c>
    </row>
    <row r="62" spans="1:10" customHeight="0">
      <c r="A62" s="2" t="inlineStr">
        <is>
          <t>Счетчик воды</t>
        </is>
      </c>
      <c r="B62" s="2" t="inlineStr">
        <is>
          <t>Декаст</t>
        </is>
      </c>
      <c r="C62" s="2" t="inlineStr">
        <is>
          <t>711-65-303</t>
        </is>
      </c>
      <c r="D62" s="2" t="inlineStr">
        <is>
          <t>Счетчик воды Декаст СТВХ-65 "СТРИМ" Класс  "С" МИД Р (LoRaWan), IP68, чугунный корпус, турбинный, фланцевый, 200 мм</t>
        </is>
      </c>
      <c r="E62" s="2" t="inlineStr">
        <is>
          <t>**</t>
        </is>
      </c>
      <c r="F62" s="2" t="inlineStr">
        <is>
          <t>**</t>
        </is>
      </c>
      <c r="H62" s="2">
        <v>44407.16</v>
      </c>
      <c r="I62" s="2" t="inlineStr">
        <is>
          <t>руб.</t>
        </is>
      </c>
    </row>
    <row r="63" spans="1:10" customHeight="0">
      <c r="A63" s="2" t="inlineStr">
        <is>
          <t>Счетчик воды</t>
        </is>
      </c>
      <c r="B63" s="2" t="inlineStr">
        <is>
          <t>Декаст</t>
        </is>
      </c>
      <c r="C63" s="2" t="inlineStr">
        <is>
          <t>78-65-484</t>
        </is>
      </c>
      <c r="D63" s="2" t="inlineStr">
        <is>
          <t>Счетчик воды Декаст СТВХ-65 МИД Р (LoRaWan), IP68, чугунный корпус, турбинный, фланцевый, 200 мм</t>
        </is>
      </c>
      <c r="E63" s="2" t="inlineStr">
        <is>
          <t>**</t>
        </is>
      </c>
      <c r="F63" s="2" t="inlineStr">
        <is>
          <t>**</t>
        </is>
      </c>
      <c r="H63" s="2">
        <v>38211.98</v>
      </c>
      <c r="I63" s="2" t="inlineStr">
        <is>
          <t>руб.</t>
        </is>
      </c>
    </row>
    <row r="64" spans="1:10" customHeight="0">
      <c r="A64" s="2" t="inlineStr">
        <is>
          <t>Счетчик воды</t>
        </is>
      </c>
      <c r="B64" s="2" t="inlineStr">
        <is>
          <t>Декаст</t>
        </is>
      </c>
      <c r="C64" s="2" t="inlineStr">
        <is>
          <t>78-65-486</t>
        </is>
      </c>
      <c r="D64" s="2" t="inlineStr">
        <is>
          <t>Счетчик воды Декаст СТВХ-65 УК МИД Р (LoRaWan), IP68, чугунный удлиненный корпус, турбинный, фланцевый, 260 мм</t>
        </is>
      </c>
      <c r="E64" s="2" t="inlineStr">
        <is>
          <t>**</t>
        </is>
      </c>
      <c r="F64" s="2" t="inlineStr">
        <is>
          <t>**</t>
        </is>
      </c>
      <c r="H64" s="2">
        <v>43379.32</v>
      </c>
      <c r="I64" s="2" t="inlineStr">
        <is>
          <t>руб.</t>
        </is>
      </c>
    </row>
    <row r="65" spans="1:10" customHeight="0">
      <c r="A65" s="2" t="inlineStr">
        <is>
          <t>Счетчик воды</t>
        </is>
      </c>
      <c r="B65" s="2" t="inlineStr">
        <is>
          <t>Декаст</t>
        </is>
      </c>
      <c r="C65" s="2" t="inlineStr">
        <is>
          <t>711-80-303</t>
        </is>
      </c>
      <c r="D65" s="2" t="inlineStr">
        <is>
          <t>Счетчик воды Декаст СТВХ-80 "СТРИМ" Класс  "С" МИД Р (LoRaWan), IP68, чугунный корпус, турбинный, фланцевый, 225 мм</t>
        </is>
      </c>
      <c r="E65" s="2" t="inlineStr">
        <is>
          <t>**</t>
        </is>
      </c>
      <c r="F65" s="2" t="inlineStr">
        <is>
          <t>**</t>
        </is>
      </c>
      <c r="H65" s="2">
        <v>46096.75</v>
      </c>
      <c r="I65" s="2" t="inlineStr">
        <is>
          <t>руб.</t>
        </is>
      </c>
    </row>
    <row r="66" spans="1:10" customHeight="0">
      <c r="A66" s="2" t="inlineStr">
        <is>
          <t>Счетчик воды</t>
        </is>
      </c>
      <c r="B66" s="2" t="inlineStr">
        <is>
          <t>Декаст</t>
        </is>
      </c>
      <c r="C66" s="2" t="inlineStr">
        <is>
          <t>78-80-484</t>
        </is>
      </c>
      <c r="D66" s="2" t="inlineStr">
        <is>
          <t>Счетчик воды Декаст СТВХ-80 МИД Р (LoRaWan), IP68, чугунный корпус, турбинный, фланцевый, 225 мм</t>
        </is>
      </c>
      <c r="E66" s="2" t="inlineStr">
        <is>
          <t>**</t>
        </is>
      </c>
      <c r="F66" s="2" t="inlineStr">
        <is>
          <t>**</t>
        </is>
      </c>
      <c r="H66" s="2">
        <v>39901.57</v>
      </c>
      <c r="I66" s="2" t="inlineStr">
        <is>
          <t>руб.</t>
        </is>
      </c>
    </row>
    <row r="67" spans="1:10" customHeight="0">
      <c r="A67" s="2" t="inlineStr">
        <is>
          <t>Счетчик воды</t>
        </is>
      </c>
      <c r="B67" s="2" t="inlineStr">
        <is>
          <t>Декаст</t>
        </is>
      </c>
      <c r="C67" s="2" t="inlineStr">
        <is>
          <t>78-80-486</t>
        </is>
      </c>
      <c r="D67" s="2" t="inlineStr">
        <is>
          <t>Счетчик воды Декаст СТВХ-80 УК МИД Р (LoRaWan), IP68, чугунный удлиненный корпус, турбинный, фланцевый, 270 мм</t>
        </is>
      </c>
      <c r="E67" s="2" t="inlineStr">
        <is>
          <t>**</t>
        </is>
      </c>
      <c r="F67" s="2" t="inlineStr">
        <is>
          <t>**</t>
        </is>
      </c>
      <c r="H67" s="2">
        <v>44671.86</v>
      </c>
      <c r="I67" s="2" t="inlineStr">
        <is>
          <t>руб.</t>
        </is>
      </c>
    </row>
    <row r="68" spans="1:10" customHeight="0">
      <c r="A68" s="2" t="inlineStr">
        <is>
          <t>Системы цифрового  спутникового, эфирного и кабельного ТВ</t>
        </is>
      </c>
      <c r="B68" s="2" t="inlineStr">
        <is>
          <t>Sumavision</t>
        </is>
      </c>
      <c r="C68" s="2" t="inlineStr">
        <is>
          <t>C131S</t>
        </is>
      </c>
      <c r="D68" s="2" t="inlineStr">
        <is>
          <t>Карта одноканальная H.264 HD/SD кодер или 2xHD/8xSD транскодер C131</t>
        </is>
      </c>
      <c r="E68" s="2" t="inlineStr">
        <is>
          <t>**</t>
        </is>
      </c>
      <c r="F68" s="2" t="inlineStr">
        <is>
          <t>**</t>
        </is>
      </c>
      <c r="H68" s="2" t="inlineStr">
        <is>
          <t>по запросу</t>
        </is>
      </c>
    </row>
    <row r="69" spans="1:10" customHeight="0">
      <c r="A69" s="2" t="inlineStr">
        <is>
          <t>Системы цифрового  спутникового, эфирного и кабельного ТВ</t>
        </is>
      </c>
      <c r="B69" s="2" t="inlineStr">
        <is>
          <t>Sumavision</t>
        </is>
      </c>
      <c r="C69" s="2" t="inlineStr">
        <is>
          <t>C132N</t>
        </is>
      </c>
      <c r="D69" s="2" t="inlineStr">
        <is>
          <t>Многоканальная карта транскодирования  C132N HEVC/H264/MPEG-2 Transcoding Card (OTT/DTV)</t>
        </is>
      </c>
      <c r="E69" s="2" t="inlineStr">
        <is>
          <t>**</t>
        </is>
      </c>
      <c r="F69" s="2" t="inlineStr">
        <is>
          <t>**</t>
        </is>
      </c>
      <c r="H69" s="2" t="inlineStr">
        <is>
          <t>по запросу</t>
        </is>
      </c>
    </row>
    <row r="70" spans="1:10" customHeight="0">
      <c r="A70" s="2" t="inlineStr">
        <is>
          <t>Системы цифрового  спутникового, эфирного и кабельного ТВ</t>
        </is>
      </c>
      <c r="B70" s="2" t="inlineStr">
        <is>
          <t>Sumavision</t>
        </is>
      </c>
      <c r="C70" s="2" t="inlineStr">
        <is>
          <t>C517S</t>
        </is>
      </c>
      <c r="D70" s="2" t="inlineStr">
        <is>
          <t>Одноканальный модулятор  DVB-S/S2/S2X Modulation card</t>
        </is>
      </c>
      <c r="E70" s="2" t="inlineStr">
        <is>
          <t>**</t>
        </is>
      </c>
      <c r="F70" s="2" t="inlineStr">
        <is>
          <t>**</t>
        </is>
      </c>
      <c r="H70" s="2" t="inlineStr">
        <is>
          <t>по запросу</t>
        </is>
      </c>
    </row>
    <row r="71" spans="1:10" customHeight="0">
      <c r="A71" s="2" t="inlineStr">
        <is>
          <t>Системы цифрового  спутникового, эфирного и кабельного ТВ</t>
        </is>
      </c>
      <c r="B71" s="2" t="inlineStr">
        <is>
          <t>Sumavision</t>
        </is>
      </c>
      <c r="C71" s="2" t="inlineStr">
        <is>
          <t>C518C</t>
        </is>
      </c>
      <c r="D71" s="2" t="inlineStr">
        <is>
          <t>Карта 16 канальный QAM модулятор  16 Un-adjacent Frequency QAM Modulation Card</t>
        </is>
      </c>
      <c r="E71" s="2" t="inlineStr">
        <is>
          <t>**</t>
        </is>
      </c>
      <c r="F71" s="2" t="inlineStr">
        <is>
          <t>**</t>
        </is>
      </c>
      <c r="H71" s="2" t="inlineStr">
        <is>
          <t>по запросу</t>
        </is>
      </c>
    </row>
    <row r="72" spans="1:10" customHeight="0">
      <c r="A72" s="2" t="inlineStr">
        <is>
          <t>Системы цифрового  спутникового, эфирного и кабельного ТВ</t>
        </is>
      </c>
      <c r="B72" s="2" t="inlineStr">
        <is>
          <t>Sumavision</t>
        </is>
      </c>
      <c r="C72" s="2" t="inlineStr">
        <is>
          <t>EMR4.0</t>
        </is>
      </c>
      <c r="D72" s="2" t="inlineStr">
        <is>
          <t>Мультимедийный маршрутизатор  EMR4.0: Core Video Processing &amp; Switching</t>
        </is>
      </c>
      <c r="E72" s="2" t="inlineStr">
        <is>
          <t>**</t>
        </is>
      </c>
      <c r="F72" s="2" t="inlineStr">
        <is>
          <t>**</t>
        </is>
      </c>
      <c r="H72" s="2" t="inlineStr">
        <is>
          <t>по запросу</t>
        </is>
      </c>
    </row>
    <row r="73" spans="1:10" customHeight="0">
      <c r="A73" s="2" t="inlineStr">
        <is>
          <t>Системы цифрового  спутникового, эфирного и кабельного ТВ</t>
        </is>
      </c>
      <c r="B73" s="2" t="inlineStr">
        <is>
          <t>Sumavision</t>
        </is>
      </c>
      <c r="C73" s="2" t="inlineStr">
        <is>
          <t>IPQAM 3.3</t>
        </is>
      </c>
      <c r="D73" s="2" t="inlineStr">
        <is>
          <t>Шасси  Sumavision IPQAM3.3</t>
        </is>
      </c>
      <c r="E73" s="2" t="inlineStr">
        <is>
          <t>**</t>
        </is>
      </c>
      <c r="F73" s="2" t="inlineStr">
        <is>
          <t>**</t>
        </is>
      </c>
      <c r="H73" s="2" t="inlineStr">
        <is>
          <t>по запросу</t>
        </is>
      </c>
    </row>
    <row r="74" spans="1:10" customHeight="0">
      <c r="A74" s="2" t="inlineStr">
        <is>
          <t>Системы цифрового  спутникового, эфирного и кабельного ТВ</t>
        </is>
      </c>
      <c r="B74" s="2" t="inlineStr">
        <is>
          <t>Sumavision</t>
        </is>
      </c>
      <c r="C74" s="2" t="inlineStr">
        <is>
          <t>QT322</t>
        </is>
      </c>
      <c r="D74" s="2" t="inlineStr">
        <is>
          <t>Модулятор несмежных каналов  Sumavision  QAM Card</t>
        </is>
      </c>
      <c r="E74" s="2" t="inlineStr">
        <is>
          <t>**</t>
        </is>
      </c>
      <c r="F74" s="2" t="inlineStr">
        <is>
          <t>**</t>
        </is>
      </c>
      <c r="H74" s="2" t="inlineStr">
        <is>
          <t>по запросу</t>
        </is>
      </c>
    </row>
    <row r="75" spans="1:10" customHeight="0">
      <c r="A75" s="2" t="inlineStr">
        <is>
          <t>Системы цифрового  спутникового, эфирного и кабельного ТВ</t>
        </is>
      </c>
      <c r="B75" s="2" t="inlineStr">
        <is>
          <t>Sumavision</t>
        </is>
      </c>
      <c r="C75" s="2" t="inlineStr">
        <is>
          <t>CC8800-C-P2</t>
        </is>
      </c>
      <c r="D75" s="2" t="inlineStr">
        <is>
          <t>Кабельный модем  наружный DOCSIS 3.0 Outdoor R-CMTS</t>
        </is>
      </c>
      <c r="E75" s="2" t="inlineStr">
        <is>
          <t>**</t>
        </is>
      </c>
      <c r="F75" s="2" t="inlineStr">
        <is>
          <t>**</t>
        </is>
      </c>
      <c r="H75" s="2" t="inlineStr">
        <is>
          <t>по запросу</t>
        </is>
      </c>
    </row>
    <row r="76" spans="1:10" customHeight="0">
      <c r="A76" s="2" t="inlineStr">
        <is>
          <t>Системы цифрового  спутникового, эфирного и кабельного ТВ</t>
        </is>
      </c>
      <c r="B76" s="2" t="inlineStr">
        <is>
          <t>Sumavision</t>
        </is>
      </c>
      <c r="C76" s="2" t="inlineStr">
        <is>
          <t>CC8800-F-U2</t>
        </is>
      </c>
      <c r="D76" s="2" t="inlineStr">
        <is>
          <t>Кабельный модем  наружный DOCSIS 3.1 Outdoor R-CMTS  Support RMD</t>
        </is>
      </c>
      <c r="E76" s="2" t="inlineStr">
        <is>
          <t>**</t>
        </is>
      </c>
      <c r="F76" s="2" t="inlineStr">
        <is>
          <t>**</t>
        </is>
      </c>
      <c r="H76" s="2" t="inlineStr">
        <is>
          <t>по запросу</t>
        </is>
      </c>
    </row>
    <row r="77" spans="1:10" customHeight="0">
      <c r="A77" s="2" t="inlineStr">
        <is>
          <t>Системы цифрового  спутникового, эфирного и кабельного ТВ</t>
        </is>
      </c>
      <c r="B77" s="2" t="inlineStr">
        <is>
          <t>Sumavision</t>
        </is>
      </c>
      <c r="C77" s="2" t="inlineStr">
        <is>
          <t>CC8800-F-U3</t>
        </is>
      </c>
      <c r="D77" s="2" t="inlineStr">
        <is>
          <t>Кабельный модем  наружный DOCSIS 3.1 Outdoor R-CMTS  Support RMD/RPD Convertible</t>
        </is>
      </c>
      <c r="E77" s="2" t="inlineStr">
        <is>
          <t>**</t>
        </is>
      </c>
      <c r="F77" s="2" t="inlineStr">
        <is>
          <t>**</t>
        </is>
      </c>
      <c r="H77" s="2" t="inlineStr">
        <is>
          <t>по запросу</t>
        </is>
      </c>
    </row>
    <row r="78" spans="1:10" customHeight="0">
      <c r="A78" s="2" t="inlineStr">
        <is>
          <t>Системы цифрового  спутникового, эфирного и кабельного ТВ</t>
        </is>
      </c>
      <c r="B78" s="2" t="inlineStr">
        <is>
          <t>Sumavision</t>
        </is>
      </c>
      <c r="C78" s="2" t="inlineStr">
        <is>
          <t>CC8800-E-X1</t>
        </is>
      </c>
      <c r="D78" s="2" t="inlineStr">
        <is>
          <t>Кабельный модем  наружный  DOCSIS 4.0 Outdoor R-CMTS</t>
        </is>
      </c>
      <c r="E78" s="2" t="inlineStr">
        <is>
          <t>**</t>
        </is>
      </c>
      <c r="F78" s="2" t="inlineStr">
        <is>
          <t>**</t>
        </is>
      </c>
      <c r="H78" s="2" t="inlineStr">
        <is>
          <t>по запросу</t>
        </is>
      </c>
    </row>
    <row r="79" spans="1:10" customHeight="0">
      <c r="A79" s="2" t="inlineStr">
        <is>
          <t>Системы цифрового  спутникового, эфирного и кабельного ТВ</t>
        </is>
      </c>
      <c r="B79" s="2" t="inlineStr">
        <is>
          <t>Sumavision</t>
        </is>
      </c>
      <c r="C79" s="2" t="inlineStr">
        <is>
          <t>CC8800D-P2</t>
        </is>
      </c>
      <c r="D79" s="2" t="inlineStr">
        <is>
          <t>Преобразователь для широкополосной сети  DOCSIS 3.0 Indoor R-CMTS</t>
        </is>
      </c>
      <c r="E79" s="2" t="inlineStr">
        <is>
          <t>**</t>
        </is>
      </c>
      <c r="F79" s="2" t="inlineStr">
        <is>
          <t>**</t>
        </is>
      </c>
      <c r="H79" s="2" t="inlineStr">
        <is>
          <t>по запросу</t>
        </is>
      </c>
    </row>
    <row r="80" spans="1:10" customHeight="0">
      <c r="A80" s="2" t="inlineStr">
        <is>
          <t>Системы цифрового  спутникового, эфирного и кабельного ТВ</t>
        </is>
      </c>
      <c r="B80" s="2" t="inlineStr">
        <is>
          <t>Sumavision</t>
        </is>
      </c>
      <c r="C80" s="2" t="inlineStr">
        <is>
          <t>CC8800D-U2</t>
        </is>
      </c>
      <c r="D80" s="2" t="inlineStr">
        <is>
          <t>Преобразователь для широкополосной сети  DOCSIS 3.0 Indoor R-CMTS</t>
        </is>
      </c>
      <c r="E80" s="2" t="inlineStr">
        <is>
          <t>**</t>
        </is>
      </c>
      <c r="F80" s="2" t="inlineStr">
        <is>
          <t>**</t>
        </is>
      </c>
      <c r="H80" s="2" t="inlineStr">
        <is>
          <t>по запросу</t>
        </is>
      </c>
    </row>
    <row r="81" spans="1:10" customHeight="0">
      <c r="A81" s="2" t="inlineStr">
        <is>
          <t>Графический процессор (GPU)</t>
        </is>
      </c>
      <c r="B81" s="2" t="inlineStr">
        <is>
          <t>NVIDIA</t>
        </is>
      </c>
      <c r="C81" s="2" t="inlineStr">
        <is>
          <t>900-21010-0000-000||N</t>
        </is>
      </c>
      <c r="D81" s="2" t="inlineStr">
        <is>
          <t>NVIDIA TESLA H100 Graphics Cards, 80GB, Bulk Packing, PN:900-21010-0000-000</t>
        </is>
      </c>
      <c r="E81" s="2">
        <v>8</v>
      </c>
      <c r="F81" s="2">
        <v>8</v>
      </c>
      <c r="H81" s="2">
        <v>34200</v>
      </c>
      <c r="I81" s="2" t="inlineStr">
        <is>
          <t>$</t>
        </is>
      </c>
      <c r="J81" s="2">
        <f>HYPERLINK("https://app.astro.lead-studio.pro/product/118386c4-28e6-49fa-9e01-4b70fdb3e57e")</f>
      </c>
    </row>
    <row r="82" spans="1:10" customHeight="0">
      <c r="A82" s="2" t="inlineStr">
        <is>
          <t>Графический процессор (GPU)</t>
        </is>
      </c>
      <c r="B82" s="2" t="inlineStr">
        <is>
          <t>NVIDIA</t>
        </is>
      </c>
      <c r="C82" s="2" t="inlineStr">
        <is>
          <t>900-21010-0000-000</t>
        </is>
      </c>
      <c r="D82" s="2" t="inlineStr">
        <is>
          <t>NVIDIA TESLA H100 Graphics Cards, 80GB, Bulk Packing, PN:900-21010-0000-000</t>
        </is>
      </c>
      <c r="E82" s="2">
        <v>8</v>
      </c>
      <c r="F82" s="2">
        <v>8</v>
      </c>
      <c r="H82" s="2">
        <v>34200</v>
      </c>
      <c r="I82" s="2" t="inlineStr">
        <is>
          <t>$</t>
        </is>
      </c>
      <c r="J82" s="2">
        <f>HYPERLINK("https://app.astro.lead-studio.pro/product/13139411-2d8c-41ae-8ecd-a9266667729b")</f>
      </c>
    </row>
    <row r="83" spans="1:10" customHeight="0">
      <c r="A83" s="2" t="inlineStr">
        <is>
          <t>Умный дом</t>
        </is>
      </c>
      <c r="B83" s="2" t="inlineStr">
        <is>
          <t>YANDEX</t>
        </is>
      </c>
      <c r="C83" s="2" t="inlineStr">
        <is>
          <t>YNDX-00053TRQ</t>
        </is>
      </c>
      <c r="D83" s="2" t="inlineStr">
        <is>
          <t>Умная колонка Яндекс Станция Макс с Zigbee, бирюзовая, YNDX-00053TRQ</t>
        </is>
      </c>
      <c r="E83" s="2">
        <v>100</v>
      </c>
      <c r="F83" s="2">
        <v>100</v>
      </c>
      <c r="H83" s="2">
        <v>384</v>
      </c>
      <c r="I83" s="2" t="inlineStr">
        <is>
          <t>$</t>
        </is>
      </c>
      <c r="J83" s="2">
        <f>HYPERLINK("https://app.astro.lead-studio.pro/product/6cafd973-9f84-4245-8ac4-905046f826c7")</f>
      </c>
    </row>
    <row r="84" spans="1:10" customHeight="0">
      <c r="A84" s="2" t="inlineStr">
        <is>
          <t>Умный дом</t>
        </is>
      </c>
      <c r="B84" s="2" t="inlineStr">
        <is>
          <t>YANDEX</t>
        </is>
      </c>
      <c r="C84" s="2" t="inlineStr">
        <is>
          <t>YNDX-00053Z</t>
        </is>
      </c>
      <c r="D84" s="2" t="inlineStr">
        <is>
          <t>Умная колонка Яндекс Станция Макс с Zigbee, зеленая , YNDX-00053Z</t>
        </is>
      </c>
      <c r="E84" s="2">
        <v>10</v>
      </c>
      <c r="F84" s="2">
        <v>10</v>
      </c>
      <c r="H84" s="2">
        <v>331</v>
      </c>
      <c r="I84" s="2" t="inlineStr">
        <is>
          <t>$</t>
        </is>
      </c>
      <c r="J84" s="2">
        <f>HYPERLINK("https://app.astro.lead-studio.pro/product/4a20cb84-4c2f-40d1-ad93-a13b7fd657ed")</f>
      </c>
    </row>
    <row r="85" spans="1:10" customHeight="0">
      <c r="A85" s="2" t="inlineStr">
        <is>
          <t>Видеокарты</t>
        </is>
      </c>
      <c r="B85" s="2" t="inlineStr">
        <is>
          <t>ASROCK</t>
        </is>
      </c>
      <c r="C85" s="2" t="inlineStr">
        <is>
          <t>A770 PG 16GO</t>
        </is>
      </c>
      <c r="D85" s="2" t="inlineStr">
        <is>
          <t>Видеокарта PCI-E 4.0 A770 16GB A770 PG 16GO ASROCK</t>
        </is>
      </c>
      <c r="E85" s="2">
        <v>40</v>
      </c>
      <c r="F85" s="2">
        <v>40</v>
      </c>
      <c r="H85" s="2">
        <v>396</v>
      </c>
      <c r="I85" s="2" t="inlineStr">
        <is>
          <t>$</t>
        </is>
      </c>
      <c r="J85" s="2">
        <f>HYPERLINK("https://app.astro.lead-studio.pro/product/95a9c8f2-f98e-48ef-907f-d143a63c26b6")</f>
      </c>
    </row>
    <row r="86" spans="1:10" customHeight="0">
      <c r="A86" s="2" t="inlineStr">
        <is>
          <t>Видеокарты</t>
        </is>
      </c>
      <c r="B86" s="2" t="inlineStr">
        <is>
          <t>PNY</t>
        </is>
      </c>
      <c r="C86" s="2" t="inlineStr">
        <is>
          <t>VCQRTX6000-SB</t>
        </is>
      </c>
      <c r="D86" s="2" t="inlineStr">
        <is>
          <t>Видеокарта PCIE16 QUADRO RTX6000 24GB GDDR6 384B VCQRTX6000-SB PNY</t>
        </is>
      </c>
      <c r="E86" s="2" t="inlineStr">
        <is>
          <t>6</t>
        </is>
      </c>
      <c r="F86" s="2" t="inlineStr">
        <is>
          <t>6</t>
        </is>
      </c>
      <c r="H86" s="2">
        <v>5739</v>
      </c>
      <c r="I86" s="2" t="inlineStr">
        <is>
          <t>$</t>
        </is>
      </c>
      <c r="J86" s="2">
        <f>HYPERLINK("https://app.astro.lead-studio.pro/product/1aae37f8-9aa4-48d3-9429-7f0ad9cffe33")</f>
      </c>
    </row>
    <row r="87" spans="1:10" customHeight="0">
      <c r="A87" s="2" t="inlineStr">
        <is>
          <t>Видеокарты</t>
        </is>
      </c>
      <c r="B87" s="2" t="inlineStr">
        <is>
          <t>NVIDIA</t>
        </is>
      </c>
      <c r="C87" s="2" t="inlineStr">
        <is>
          <t>900-5G190-2270-000</t>
        </is>
      </c>
      <c r="D87" s="2" t="inlineStr">
        <is>
          <t>Видеокарта PCIE16 RTX 4000 ADA 20GB 900-5G190-2270-000 NVIDIA</t>
        </is>
      </c>
      <c r="E87" s="2">
        <v>10</v>
      </c>
      <c r="F87" s="2">
        <v>10</v>
      </c>
      <c r="H87" s="2">
        <v>1795</v>
      </c>
      <c r="I87" s="2" t="inlineStr">
        <is>
          <t>$</t>
        </is>
      </c>
      <c r="J87" s="2">
        <f>HYPERLINK("https://app.astro.lead-studio.pro/product/6d10366f-2b3f-47ea-9da6-242da2676b64")</f>
      </c>
    </row>
    <row r="88" spans="1:10" customHeight="0">
      <c r="A88" s="2" t="inlineStr">
        <is>
          <t>Видеокарты</t>
        </is>
      </c>
      <c r="B88" s="2" t="inlineStr">
        <is>
          <t>NVIDIA</t>
        </is>
      </c>
      <c r="C88" s="2" t="inlineStr">
        <is>
          <t>900-5G133-2550-000</t>
        </is>
      </c>
      <c r="D88" s="2" t="inlineStr">
        <is>
          <t>Видеокарта PCIE16 RTX 6000 ADA 48GB 900-5G133-2550-000 BOX NVIDIA</t>
        </is>
      </c>
      <c r="E88" s="2" t="inlineStr">
        <is>
          <t>3</t>
        </is>
      </c>
      <c r="F88" s="2" t="inlineStr">
        <is>
          <t>3</t>
        </is>
      </c>
      <c r="H88" s="2">
        <v>9762</v>
      </c>
      <c r="I88" s="2" t="inlineStr">
        <is>
          <t>$</t>
        </is>
      </c>
      <c r="J88" s="2">
        <f>HYPERLINK("https://app.astro.lead-studio.pro/product/e98d058f-f5a9-423f-829f-1c3717c54e97")</f>
      </c>
    </row>
    <row r="89" spans="1:10" customHeight="0">
      <c r="A89" s="2" t="inlineStr">
        <is>
          <t>Видеокарты</t>
        </is>
      </c>
      <c r="B89" s="2" t="inlineStr">
        <is>
          <t>NVIDIA</t>
        </is>
      </c>
      <c r="C89" s="2" t="inlineStr">
        <is>
          <t>900-5G190-2200-000</t>
        </is>
      </c>
      <c r="D89" s="2" t="inlineStr">
        <is>
          <t>Видеокарта PCIE16 RTX A4000 16GB BLK 256B 900-5G190-2200-000 NVIDIA</t>
        </is>
      </c>
      <c r="E89" s="2">
        <v>10</v>
      </c>
      <c r="F89" s="2">
        <v>10</v>
      </c>
      <c r="H89" s="2">
        <v>1209</v>
      </c>
      <c r="I89" s="2" t="inlineStr">
        <is>
          <t>$</t>
        </is>
      </c>
      <c r="J89" s="2">
        <f>HYPERLINK("https://app.astro.lead-studio.pro/product/1ac84b8e-686e-44f4-a48c-704780516cb7")</f>
      </c>
    </row>
    <row r="90" spans="1:10" customHeight="0">
      <c r="A90" s="2" t="inlineStr">
        <is>
          <t>Видеокарты</t>
        </is>
      </c>
      <c r="B90" s="2" t="inlineStr">
        <is>
          <t>AETINA</t>
        </is>
      </c>
      <c r="C90" s="2" t="inlineStr">
        <is>
          <t>RTX2080M8D6-C</t>
        </is>
      </c>
      <c r="D90" s="2" t="inlineStr">
        <is>
          <t>Видеокарта PCIE16 RTX2080 8GB GDDR6 RTX2080M8D6-C AETINA</t>
        </is>
      </c>
      <c r="E90" s="2" t="inlineStr">
        <is>
          <t>5</t>
        </is>
      </c>
      <c r="F90" s="2" t="inlineStr">
        <is>
          <t>5</t>
        </is>
      </c>
      <c r="H90" s="2">
        <v>3266</v>
      </c>
      <c r="I90" s="2" t="inlineStr">
        <is>
          <t>$</t>
        </is>
      </c>
      <c r="J90" s="2">
        <f>HYPERLINK("https://app.astro.lead-studio.pro/product/f7f6d502-7fad-433f-b80d-75be64ebd872")</f>
      </c>
    </row>
    <row r="91" spans="1:10" customHeight="0">
      <c r="A91" s="2" t="inlineStr">
        <is>
          <t>Видеокарты</t>
        </is>
      </c>
      <c r="B91" s="2" t="inlineStr">
        <is>
          <t>PALIT</t>
        </is>
      </c>
      <c r="C91" s="2" t="inlineStr">
        <is>
          <t>NE63060T19K9-190AD</t>
        </is>
      </c>
      <c r="D91" s="2" t="inlineStr">
        <is>
          <t>Видеокарта PCIE16 RTX3060 12GB LHR PA-RTX3060 DUAL OC PALIT</t>
        </is>
      </c>
      <c r="E91" s="2">
        <v>40</v>
      </c>
      <c r="F91" s="2">
        <v>40</v>
      </c>
      <c r="H91" s="2">
        <v>373</v>
      </c>
      <c r="I91" s="2" t="inlineStr">
        <is>
          <t>$</t>
        </is>
      </c>
      <c r="J91" s="2">
        <f>HYPERLINK("https://app.astro.lead-studio.pro/product/647efc0d-a2ba-41ee-aa12-00487ea53bd0")</f>
      </c>
    </row>
    <row r="92" spans="1:10" customHeight="0">
      <c r="A92" s="2" t="inlineStr">
        <is>
          <t>Видеокарты</t>
        </is>
      </c>
      <c r="B92" s="2" t="inlineStr">
        <is>
          <t>GIGABYTE</t>
        </is>
      </c>
      <c r="C92" s="2" t="inlineStr">
        <is>
          <t>GV-N4060GAMING OC-8GD</t>
        </is>
      </c>
      <c r="D92" s="2" t="inlineStr">
        <is>
          <t>Видеокарта PCIE16 RTX4060 8GB GV-N4060GAMING OC-8GD GIGABYTE</t>
        </is>
      </c>
      <c r="E92" s="2">
        <v>100</v>
      </c>
      <c r="F92" s="2">
        <v>100</v>
      </c>
      <c r="H92" s="2">
        <v>428</v>
      </c>
      <c r="I92" s="2" t="inlineStr">
        <is>
          <t>$</t>
        </is>
      </c>
      <c r="J92" s="2">
        <f>HYPERLINK("https://app.astro.lead-studio.pro/product/36d1b0c2-d70f-40a2-9744-8443e99dc941")</f>
      </c>
    </row>
    <row r="93" spans="1:10" customHeight="0">
      <c r="A93" s="2" t="inlineStr">
        <is>
          <t>Видеокарты</t>
        </is>
      </c>
      <c r="B93" s="2" t="inlineStr">
        <is>
          <t>GIGABYTE</t>
        </is>
      </c>
      <c r="C93" s="2" t="inlineStr">
        <is>
          <t>GV-N4060OC-8GL</t>
        </is>
      </c>
      <c r="D93" s="2" t="inlineStr">
        <is>
          <t>Видеокарта PCIE16 RTX4060 8GB GV-N4060OC-8GL GIGABYTE</t>
        </is>
      </c>
      <c r="E93" s="2">
        <v>10</v>
      </c>
      <c r="F93" s="2">
        <v>10</v>
      </c>
      <c r="H93" s="2">
        <v>401</v>
      </c>
      <c r="I93" s="2" t="inlineStr">
        <is>
          <t>$</t>
        </is>
      </c>
      <c r="J93" s="2">
        <f>HYPERLINK("https://app.astro.lead-studio.pro/product/a10b3722-eb56-4431-8c8a-0d9d37b8f14e")</f>
      </c>
    </row>
    <row r="94" spans="1:10" customHeight="0">
      <c r="A94" s="2" t="inlineStr">
        <is>
          <t>Видеокарты</t>
        </is>
      </c>
      <c r="B94" s="2" t="inlineStr">
        <is>
          <t>PALIT</t>
        </is>
      </c>
      <c r="C94" s="2" t="inlineStr">
        <is>
          <t>NE64060T19P1-1070D</t>
        </is>
      </c>
      <c r="D94" s="2" t="inlineStr">
        <is>
          <t>Видеокарта PCIE16 RTX4060 8GB PA-RTX4060 DUAL OC 8GB PALIT</t>
        </is>
      </c>
      <c r="E94" s="2">
        <v>100</v>
      </c>
      <c r="F94" s="2">
        <v>100</v>
      </c>
      <c r="H94" s="2">
        <v>412</v>
      </c>
      <c r="I94" s="2" t="inlineStr">
        <is>
          <t>$</t>
        </is>
      </c>
      <c r="J94" s="2">
        <f>HYPERLINK("https://app.astro.lead-studio.pro/product/d7fbe523-c4dc-48b5-9de2-79913d7607dd")</f>
      </c>
    </row>
    <row r="95" spans="1:10" customHeight="0">
      <c r="A95" s="2" t="inlineStr">
        <is>
          <t>Видеокарты</t>
        </is>
      </c>
      <c r="B95" s="2" t="inlineStr">
        <is>
          <t>PALIT</t>
        </is>
      </c>
      <c r="C95" s="2" t="inlineStr">
        <is>
          <t>NE64060019P1-1070L</t>
        </is>
      </c>
      <c r="D95" s="2" t="inlineStr">
        <is>
          <t>Видеокарта PCIE16 RTX4060 8GB PA-RTX4060 INFINITY2 8GB PALIT</t>
        </is>
      </c>
      <c r="E95" s="2">
        <v>100</v>
      </c>
      <c r="F95" s="2">
        <v>100</v>
      </c>
      <c r="H95" s="2">
        <v>400</v>
      </c>
      <c r="I95" s="2" t="inlineStr">
        <is>
          <t>$</t>
        </is>
      </c>
      <c r="J95" s="2">
        <f>HYPERLINK("https://app.astro.lead-studio.pro/product/3020d6a1-9e1f-4935-90a1-346c05db6554")</f>
      </c>
    </row>
    <row r="96" spans="1:10" customHeight="0">
      <c r="A96" s="2" t="inlineStr">
        <is>
          <t>Видеокарты</t>
        </is>
      </c>
      <c r="B96" s="2" t="inlineStr">
        <is>
          <t>PALIT</t>
        </is>
      </c>
      <c r="C96" s="2" t="inlineStr">
        <is>
          <t>NE64060019P1-1070F</t>
        </is>
      </c>
      <c r="D96" s="2" t="inlineStr">
        <is>
          <t>Видеокарта PCIE16 RTX4060 8GB PA-RTX4060 STORMX 8GB PALIT</t>
        </is>
      </c>
      <c r="E96" s="2">
        <v>100</v>
      </c>
      <c r="F96" s="2">
        <v>100</v>
      </c>
      <c r="H96" s="2">
        <v>382</v>
      </c>
      <c r="I96" s="2" t="inlineStr">
        <is>
          <t>$</t>
        </is>
      </c>
      <c r="J96" s="2">
        <f>HYPERLINK("https://app.astro.lead-studio.pro/product/a5c71bb8-866f-4c64-b456-be8c0c0fe633")</f>
      </c>
    </row>
    <row r="97" spans="1:10" customHeight="0">
      <c r="A97" s="2" t="inlineStr">
        <is>
          <t>Видеокарты</t>
        </is>
      </c>
      <c r="B97" s="2" t="inlineStr">
        <is>
          <t>MSI</t>
        </is>
      </c>
      <c r="C97" s="2" t="inlineStr">
        <is>
          <t>RTX 4060 AERO ITX 8G OC</t>
        </is>
      </c>
      <c r="D97" s="2" t="inlineStr">
        <is>
          <t>Видеокарта PCIE16 RTX4060 8GB RTX 4060 AERO ITX 8G OC MSI</t>
        </is>
      </c>
      <c r="E97" s="2" t="inlineStr">
        <is>
          <t>1</t>
        </is>
      </c>
      <c r="F97" s="2" t="inlineStr">
        <is>
          <t>1</t>
        </is>
      </c>
      <c r="H97" s="2">
        <v>402</v>
      </c>
      <c r="I97" s="2" t="inlineStr">
        <is>
          <t>$</t>
        </is>
      </c>
      <c r="J97" s="2">
        <f>HYPERLINK("https://app.astro.lead-studio.pro/product/6bcf32fa-4700-4b1d-9fc3-3553d344bcc9")</f>
      </c>
    </row>
    <row r="98" spans="1:10" customHeight="0">
      <c r="A98" s="2" t="inlineStr">
        <is>
          <t>Видеокарты</t>
        </is>
      </c>
      <c r="B98" s="2" t="inlineStr">
        <is>
          <t>MSI</t>
        </is>
      </c>
      <c r="C98" s="2" t="inlineStr">
        <is>
          <t>RTX 4060 GAMING X 8G</t>
        </is>
      </c>
      <c r="D98" s="2" t="inlineStr">
        <is>
          <t>Видеокарта PCIE16 RTX4060 8GB RTX 4060 GAMING X 8G MSI</t>
        </is>
      </c>
      <c r="E98" s="2">
        <v>100</v>
      </c>
      <c r="F98" s="2">
        <v>100</v>
      </c>
      <c r="H98" s="2">
        <v>437</v>
      </c>
      <c r="I98" s="2" t="inlineStr">
        <is>
          <t>$</t>
        </is>
      </c>
      <c r="J98" s="2">
        <f>HYPERLINK("https://app.astro.lead-studio.pro/product/28cd8318-33b6-43bf-9cc5-826eb6ed8e6a")</f>
      </c>
    </row>
    <row r="99" spans="1:10" customHeight="0">
      <c r="A99" s="2" t="inlineStr">
        <is>
          <t>Видеокарты</t>
        </is>
      </c>
      <c r="B99" s="2" t="inlineStr">
        <is>
          <t>MSI</t>
        </is>
      </c>
      <c r="C99" s="2" t="inlineStr">
        <is>
          <t>RTX 4060 VENTUS 2X BLACK 8G OC</t>
        </is>
      </c>
      <c r="D99" s="2" t="inlineStr">
        <is>
          <t>Видеокарта PCIE16 RTX4060 8GB RTX 4060 VENTUS 2X BLACK 8G OC MSI</t>
        </is>
      </c>
      <c r="E99" s="2">
        <v>100</v>
      </c>
      <c r="F99" s="2">
        <v>100</v>
      </c>
      <c r="H99" s="2">
        <v>419</v>
      </c>
      <c r="I99" s="2" t="inlineStr">
        <is>
          <t>$</t>
        </is>
      </c>
      <c r="J99" s="2">
        <f>HYPERLINK("https://app.astro.lead-studio.pro/product/4dc21f4d-4c57-4823-a3b3-b38ff9eb3a77")</f>
      </c>
    </row>
    <row r="100" spans="1:10" customHeight="0">
      <c r="A100" s="2" t="inlineStr">
        <is>
          <t>Видеокарты</t>
        </is>
      </c>
      <c r="B100" s="2" t="inlineStr">
        <is>
          <t>MSI</t>
        </is>
      </c>
      <c r="C100" s="2" t="inlineStr">
        <is>
          <t>RTX 4060 VENTUS 3X 8G OC</t>
        </is>
      </c>
      <c r="D100" s="2" t="inlineStr">
        <is>
          <t>Видеокарта PCIE16 RTX4060 8GB RTX 4060 VENTUS 3X 8G OC MSI</t>
        </is>
      </c>
      <c r="E100" s="2">
        <v>40</v>
      </c>
      <c r="F100" s="2">
        <v>40</v>
      </c>
      <c r="H100" s="2">
        <v>432</v>
      </c>
      <c r="I100" s="2" t="inlineStr">
        <is>
          <t>$</t>
        </is>
      </c>
      <c r="J100" s="2">
        <f>HYPERLINK("https://app.astro.lead-studio.pro/product/fd96fcd8-3ee0-46ee-a601-f1fbe05edfba")</f>
      </c>
    </row>
    <row r="101" spans="1:10" customHeight="0">
      <c r="A101" s="2" t="inlineStr">
        <is>
          <t>Видеокарты</t>
        </is>
      </c>
      <c r="B101" s="2" t="inlineStr">
        <is>
          <t>PALIT</t>
        </is>
      </c>
      <c r="C101" s="2" t="inlineStr">
        <is>
          <t>NE6406T019P1-1060D</t>
        </is>
      </c>
      <c r="D101" s="2" t="inlineStr">
        <is>
          <t>Видеокарта PCIE16 RTX4060TI 8GB PA-RTX4060TI DUAL 8GB PALIT</t>
        </is>
      </c>
      <c r="E101" s="2">
        <v>40</v>
      </c>
      <c r="F101" s="2">
        <v>40</v>
      </c>
      <c r="H101" s="2">
        <v>533</v>
      </c>
      <c r="I101" s="2" t="inlineStr">
        <is>
          <t>$</t>
        </is>
      </c>
      <c r="J101" s="2">
        <f>HYPERLINK("https://app.astro.lead-studio.pro/product/dbedd53c-11af-4f9b-98a9-4cdb947b6cd9")</f>
      </c>
    </row>
    <row r="102" spans="1:10" customHeight="0">
      <c r="A102" s="2" t="inlineStr">
        <is>
          <t>Видеокарты</t>
        </is>
      </c>
      <c r="B102" s="2" t="inlineStr">
        <is>
          <t>MSI</t>
        </is>
      </c>
      <c r="C102" s="2" t="inlineStr">
        <is>
          <t>RTX 4060 TI GAMING X 8G</t>
        </is>
      </c>
      <c r="D102" s="2" t="inlineStr">
        <is>
          <t>Видеокарта PCIE16 RTX4060TI 8GB RTX 4060 TI GAMING X 8G MSI</t>
        </is>
      </c>
      <c r="E102" s="2">
        <v>100</v>
      </c>
      <c r="F102" s="2">
        <v>100</v>
      </c>
      <c r="H102" s="2">
        <v>539</v>
      </c>
      <c r="I102" s="2" t="inlineStr">
        <is>
          <t>$</t>
        </is>
      </c>
      <c r="J102" s="2">
        <f>HYPERLINK("https://app.astro.lead-studio.pro/product/818f4675-b077-4198-b5aa-1b9aed3e83f3")</f>
      </c>
    </row>
    <row r="103" spans="1:10" customHeight="0">
      <c r="A103" s="2" t="inlineStr">
        <is>
          <t>Видеокарты</t>
        </is>
      </c>
      <c r="B103" s="2" t="inlineStr">
        <is>
          <t>MSI</t>
        </is>
      </c>
      <c r="C103" s="2" t="inlineStr">
        <is>
          <t>RTX 4060 TI VENTUS 2X BLACK 8G OC</t>
        </is>
      </c>
      <c r="D103" s="2" t="inlineStr">
        <is>
          <t>Видеокарта PCIE16 RTX4060TI 8GB RTX 4060 TI VENTUS 2X BLACK 8G OC MSI</t>
        </is>
      </c>
      <c r="E103" s="2">
        <v>40</v>
      </c>
      <c r="F103" s="2">
        <v>40</v>
      </c>
      <c r="H103" s="2">
        <v>533</v>
      </c>
      <c r="I103" s="2" t="inlineStr">
        <is>
          <t>$</t>
        </is>
      </c>
      <c r="J103" s="2">
        <f>HYPERLINK("https://app.astro.lead-studio.pro/product/596e575a-c6f5-4ecb-91a8-989323b77a13")</f>
      </c>
    </row>
    <row r="104" spans="1:10" customHeight="0">
      <c r="A104" s="2" t="inlineStr">
        <is>
          <t>Видеокарты</t>
        </is>
      </c>
      <c r="B104" s="2" t="inlineStr">
        <is>
          <t>GIGABYTE</t>
        </is>
      </c>
      <c r="C104" s="2" t="inlineStr">
        <is>
          <t>GV-N4070WF2OCV2-12GD</t>
        </is>
      </c>
      <c r="D104" s="2" t="inlineStr">
        <is>
          <t>Видеокарта PCIE16 RTX4070 12GB DDR6 GV-N4070WF2OCV2-12GD GIGABYTE</t>
        </is>
      </c>
      <c r="E104" s="2">
        <v>40</v>
      </c>
      <c r="F104" s="2">
        <v>40</v>
      </c>
      <c r="H104" s="2">
        <v>779</v>
      </c>
      <c r="I104" s="2" t="inlineStr">
        <is>
          <t>$</t>
        </is>
      </c>
      <c r="J104" s="2">
        <f>HYPERLINK("https://app.astro.lead-studio.pro/product/88a6cfdc-ca13-439f-b924-057a5415b0de")</f>
      </c>
    </row>
    <row r="105" spans="1:10" customHeight="0">
      <c r="A105" s="2" t="inlineStr">
        <is>
          <t>Видеокарты</t>
        </is>
      </c>
      <c r="B105" s="2" t="inlineStr">
        <is>
          <t>PALIT</t>
        </is>
      </c>
      <c r="C105" s="2" t="inlineStr">
        <is>
          <t>NED4070019K9-1047D</t>
        </is>
      </c>
      <c r="D105" s="2" t="inlineStr">
        <is>
          <t>Видеокарта PCIE16 RTX4070 12GB PA-RTX4070 DUAL 12GB PALIT</t>
        </is>
      </c>
      <c r="E105" s="2">
        <v>40</v>
      </c>
      <c r="F105" s="2">
        <v>40</v>
      </c>
      <c r="H105" s="2">
        <v>785</v>
      </c>
      <c r="I105" s="2" t="inlineStr">
        <is>
          <t>$</t>
        </is>
      </c>
      <c r="J105" s="2">
        <f>HYPERLINK("https://app.astro.lead-studio.pro/product/9b8a70df-69f0-46b0-b84a-d87a2b4fe7b2")</f>
      </c>
    </row>
    <row r="106" spans="1:10" customHeight="0">
      <c r="A106" s="2" t="inlineStr">
        <is>
          <t>Видеокарты</t>
        </is>
      </c>
      <c r="B106" s="2" t="inlineStr">
        <is>
          <t>MSI</t>
        </is>
      </c>
      <c r="C106" s="2" t="inlineStr">
        <is>
          <t>RTX 4070 VENTUS 3X E 12G OC</t>
        </is>
      </c>
      <c r="D106" s="2" t="inlineStr">
        <is>
          <t>Видеокарта PCIE16 RTX4070 12GB RTX 4070 VENTUS 3X E 12G OC MSI</t>
        </is>
      </c>
      <c r="E106" s="2">
        <v>100</v>
      </c>
      <c r="F106" s="2">
        <v>100</v>
      </c>
      <c r="H106" s="2">
        <v>816</v>
      </c>
      <c r="I106" s="2" t="inlineStr">
        <is>
          <t>$</t>
        </is>
      </c>
      <c r="J106" s="2">
        <f>HYPERLINK("https://app.astro.lead-studio.pro/product/0325f7be-2a58-497d-9c83-99b1b394184d")</f>
      </c>
    </row>
    <row r="107" spans="1:10" customHeight="0">
      <c r="A107" s="2" t="inlineStr">
        <is>
          <t>Видеокарты</t>
        </is>
      </c>
      <c r="B107" s="2" t="inlineStr">
        <is>
          <t>GIGABYTE</t>
        </is>
      </c>
      <c r="C107" s="2" t="inlineStr">
        <is>
          <t>GV-N407TSWF3MAX OC-16GD</t>
        </is>
      </c>
      <c r="D107" s="2" t="inlineStr">
        <is>
          <t>Видеокарта PCIE16 RTX4070TI SUPER 16G GV-N407TSWF3MAX OC-16GD GIGABYTE</t>
        </is>
      </c>
      <c r="E107" s="2">
        <v>100</v>
      </c>
      <c r="F107" s="2">
        <v>100</v>
      </c>
      <c r="H107" s="2">
        <v>1158</v>
      </c>
      <c r="I107" s="2" t="inlineStr">
        <is>
          <t>$</t>
        </is>
      </c>
      <c r="J107" s="2">
        <f>HYPERLINK("https://app.astro.lead-studio.pro/product/9d1c34ec-cdb5-40a7-bd47-1cfcf3b4cb84")</f>
      </c>
    </row>
    <row r="108" spans="1:10" customHeight="0">
      <c r="A108" s="2" t="inlineStr">
        <is>
          <t>Видеокарты</t>
        </is>
      </c>
      <c r="B108" s="2" t="inlineStr">
        <is>
          <t>MSI</t>
        </is>
      </c>
      <c r="C108" s="2" t="inlineStr">
        <is>
          <t>RTX 4070 TI SUPER 16G GAMING X SLIM</t>
        </is>
      </c>
      <c r="D108" s="2" t="inlineStr">
        <is>
          <t>Видеокарта PCIE16 RTX4070TI SUPER 16G RTX 4070 TI SUPER 16G GAMING X SLIM MSI</t>
        </is>
      </c>
      <c r="E108" s="2">
        <v>10</v>
      </c>
      <c r="F108" s="2">
        <v>10</v>
      </c>
      <c r="H108" s="2">
        <v>1203</v>
      </c>
      <c r="I108" s="2" t="inlineStr">
        <is>
          <t>$</t>
        </is>
      </c>
      <c r="J108" s="2">
        <f>HYPERLINK("https://app.astro.lead-studio.pro/product/6fb30a52-3df9-4308-b5f5-4970b59e58fb")</f>
      </c>
    </row>
    <row r="109" spans="1:10" customHeight="0">
      <c r="A109" s="2" t="inlineStr">
        <is>
          <t>Видеокарты</t>
        </is>
      </c>
      <c r="B109" s="2" t="inlineStr">
        <is>
          <t>MSI</t>
        </is>
      </c>
      <c r="C109" s="2" t="inlineStr">
        <is>
          <t>RTX 4070 TI SUPER 16G SHADOW 3X OC</t>
        </is>
      </c>
      <c r="D109" s="2" t="inlineStr">
        <is>
          <t>Видеокарта PCIE16 RTX4070TI SUPER 16G RTX 4070 TI SUPER 16G SHADOW 3X OC MSI</t>
        </is>
      </c>
      <c r="E109" s="2">
        <v>40</v>
      </c>
      <c r="F109" s="2">
        <v>40</v>
      </c>
      <c r="H109" s="2">
        <v>1170</v>
      </c>
      <c r="I109" s="2" t="inlineStr">
        <is>
          <t>$</t>
        </is>
      </c>
      <c r="J109" s="2">
        <f>HYPERLINK("https://app.astro.lead-studio.pro/product/a3b8d078-37d9-4193-9106-581dccfe8c41")</f>
      </c>
    </row>
    <row r="110" spans="1:10" customHeight="0">
      <c r="A110" s="2" t="inlineStr">
        <is>
          <t>Видеокарты</t>
        </is>
      </c>
      <c r="B110" s="2" t="inlineStr">
        <is>
          <t>GIGABYTE</t>
        </is>
      </c>
      <c r="C110" s="2" t="inlineStr">
        <is>
          <t>GV-N408SWF3V2-16GD</t>
        </is>
      </c>
      <c r="D110" s="2" t="inlineStr">
        <is>
          <t>Видеокарта PCIE16 RTX4080 SUPER 16GB GV-N408SWF3V2-16GD GIGABYTE</t>
        </is>
      </c>
      <c r="E110" s="2" t="inlineStr">
        <is>
          <t>1</t>
        </is>
      </c>
      <c r="F110" s="2" t="inlineStr">
        <is>
          <t>1</t>
        </is>
      </c>
      <c r="H110" s="2">
        <v>1691</v>
      </c>
      <c r="I110" s="2" t="inlineStr">
        <is>
          <t>$</t>
        </is>
      </c>
      <c r="J110" s="2">
        <f>HYPERLINK("https://app.astro.lead-studio.pro/product/7ce9e3e6-79c1-4169-ab31-8f55e40ed7e3")</f>
      </c>
    </row>
    <row r="111" spans="1:10" customHeight="0">
      <c r="A111" s="2" t="inlineStr">
        <is>
          <t>Видеокарты</t>
        </is>
      </c>
      <c r="B111" s="2" t="inlineStr">
        <is>
          <t>ASROCK</t>
        </is>
      </c>
      <c r="C111" s="2" t="inlineStr">
        <is>
          <t>RX7600 CL 8GO</t>
        </is>
      </c>
      <c r="D111" s="2" t="inlineStr">
        <is>
          <t>Видеокарта PCIE16 RX 7600 8GB RX7600 CL 8GO ASROCK</t>
        </is>
      </c>
      <c r="E111" s="2">
        <v>40</v>
      </c>
      <c r="F111" s="2">
        <v>40</v>
      </c>
      <c r="H111" s="2">
        <v>374</v>
      </c>
      <c r="I111" s="2" t="inlineStr">
        <is>
          <t>$</t>
        </is>
      </c>
      <c r="J111" s="2">
        <f>HYPERLINK("https://app.astro.lead-studio.pro/product/16843509-2219-4d72-ab07-84ab4fbe7213")</f>
      </c>
    </row>
    <row r="112" spans="1:10" customHeight="0">
      <c r="A112" s="2" t="inlineStr">
        <is>
          <t>Видеокарты</t>
        </is>
      </c>
      <c r="B112" s="2" t="inlineStr">
        <is>
          <t>ASROCK</t>
        </is>
      </c>
      <c r="C112" s="2" t="inlineStr">
        <is>
          <t>RX7600XT CL 16GO</t>
        </is>
      </c>
      <c r="D112" s="2" t="inlineStr">
        <is>
          <t>Видеокарта PCIE16 RX 7600XT 16GB RX7600XT CL 16GO ASROCK</t>
        </is>
      </c>
      <c r="E112" s="2">
        <v>100</v>
      </c>
      <c r="F112" s="2">
        <v>100</v>
      </c>
      <c r="H112" s="2">
        <v>441</v>
      </c>
      <c r="I112" s="2" t="inlineStr">
        <is>
          <t>$</t>
        </is>
      </c>
      <c r="J112" s="2">
        <f>HYPERLINK("https://app.astro.lead-studio.pro/product/b8ac2ac2-c85d-4741-b288-fdf31e0455b7")</f>
      </c>
    </row>
    <row r="113" spans="1:10" customHeight="0">
      <c r="A113" s="2" t="inlineStr">
        <is>
          <t>Видеокарты</t>
        </is>
      </c>
      <c r="B113" s="2" t="inlineStr">
        <is>
          <t>ASROCK</t>
        </is>
      </c>
      <c r="C113" s="2" t="inlineStr">
        <is>
          <t>RX7600XT SL 16GO</t>
        </is>
      </c>
      <c r="D113" s="2" t="inlineStr">
        <is>
          <t>Видеокарта PCIE16 RX 7600XT 16GB RX7600XT SL 16GO ASROCK</t>
        </is>
      </c>
      <c r="E113" s="2">
        <v>10</v>
      </c>
      <c r="F113" s="2">
        <v>10</v>
      </c>
      <c r="H113" s="2">
        <v>469</v>
      </c>
      <c r="I113" s="2" t="inlineStr">
        <is>
          <t>$</t>
        </is>
      </c>
      <c r="J113" s="2">
        <f>HYPERLINK("https://app.astro.lead-studio.pro/product/76c861d5-d25b-42c3-9631-6c9eeffaacf5")</f>
      </c>
    </row>
    <row r="114" spans="1:10" customHeight="0">
      <c r="A114" s="2" t="inlineStr">
        <is>
          <t>Видеокарты</t>
        </is>
      </c>
      <c r="B114" s="2" t="inlineStr">
        <is>
          <t>NVIDIA</t>
        </is>
      </c>
      <c r="C114" s="2" t="inlineStr">
        <is>
          <t>900-5G172-2550-000</t>
        </is>
      </c>
      <c r="D114" s="2" t="inlineStr">
        <is>
          <t>Видеокарта PCIE16 T1000 4GB GDDR6 BOX 900-5G172-2550-000 NVIDIA</t>
        </is>
      </c>
      <c r="E114" s="2">
        <v>100</v>
      </c>
      <c r="F114" s="2">
        <v>100</v>
      </c>
      <c r="H114" s="2">
        <v>431</v>
      </c>
      <c r="I114" s="2" t="inlineStr">
        <is>
          <t>$</t>
        </is>
      </c>
      <c r="J114" s="2">
        <f>HYPERLINK("https://app.astro.lead-studio.pro/product/b2e13196-92a1-409f-857d-09d5872eef16")</f>
      </c>
    </row>
    <row r="115" spans="1:10" customHeight="0">
      <c r="A115" s="2" t="inlineStr">
        <is>
          <t>Видеокарты</t>
        </is>
      </c>
      <c r="B115" s="2" t="inlineStr">
        <is>
          <t>NVIDIA</t>
        </is>
      </c>
      <c r="C115" s="2" t="inlineStr">
        <is>
          <t>900-5G172-2570-000</t>
        </is>
      </c>
      <c r="D115" s="2" t="inlineStr">
        <is>
          <t>Видеокарта PCIE16 T1000 8GB GDDR6 900-5G172-2570-000 NVIDIA</t>
        </is>
      </c>
      <c r="E115" s="2">
        <v>40</v>
      </c>
      <c r="F115" s="2">
        <v>40</v>
      </c>
      <c r="H115" s="2">
        <v>501</v>
      </c>
      <c r="I115" s="2" t="inlineStr">
        <is>
          <t>$</t>
        </is>
      </c>
      <c r="J115" s="2">
        <f>HYPERLINK("https://app.astro.lead-studio.pro/product/dd4dbabe-f5e6-4753-9bd6-892d2409932e")</f>
      </c>
    </row>
    <row r="116" spans="1:10" customHeight="0">
      <c r="A116" s="2" t="inlineStr">
        <is>
          <t>Жесткие диски 3.5" SATA</t>
        </is>
      </c>
      <c r="B116" s="2" t="inlineStr">
        <is>
          <t>WESTERN DIGITAL</t>
        </is>
      </c>
      <c r="C116" s="2" t="inlineStr">
        <is>
          <t>WD142PURP</t>
        </is>
      </c>
      <c r="D116" s="2" t="inlineStr">
        <is>
          <t>Жесткий диск SATA 14TB 6GB/S 512MB PURPLE WD142PURP WDC</t>
        </is>
      </c>
      <c r="E116" s="2" t="inlineStr">
        <is>
          <t>4</t>
        </is>
      </c>
      <c r="F116" s="2" t="inlineStr">
        <is>
          <t>4</t>
        </is>
      </c>
      <c r="H116" s="2">
        <v>419</v>
      </c>
      <c r="I116" s="2" t="inlineStr">
        <is>
          <t>$</t>
        </is>
      </c>
      <c r="J116" s="2">
        <f>HYPERLINK("https://app.astro.lead-studio.pro/product/e242f852-4b27-4e6f-a220-0303a1c01a2e")</f>
      </c>
    </row>
    <row r="117" spans="1:10" customHeight="0">
      <c r="A117" s="2" t="inlineStr">
        <is>
          <t>Жесткие диски 3.5" SATA</t>
        </is>
      </c>
      <c r="B117" s="2" t="inlineStr">
        <is>
          <t>SEAGATE</t>
        </is>
      </c>
      <c r="C117" s="2" t="inlineStr">
        <is>
          <t>ST16000VE002</t>
        </is>
      </c>
      <c r="D117" s="2" t="inlineStr">
        <is>
          <t>Жесткий диск SATA 16TB 7200RPM 6GB/S 256MB ST16000VE002 SEAGATE</t>
        </is>
      </c>
      <c r="E117" s="2">
        <v>40</v>
      </c>
      <c r="F117" s="2">
        <v>40</v>
      </c>
      <c r="H117" s="2">
        <v>362</v>
      </c>
      <c r="I117" s="2" t="inlineStr">
        <is>
          <t>$</t>
        </is>
      </c>
      <c r="J117" s="2">
        <f>HYPERLINK("https://app.astro.lead-studio.pro/product/e859b240-f8a0-44d9-b1ce-0401f390db01")</f>
      </c>
    </row>
    <row r="118" spans="1:10" customHeight="0">
      <c r="A118" s="2" t="inlineStr">
        <is>
          <t>Жесткие диски 3.5" SATA</t>
        </is>
      </c>
      <c r="B118" s="2" t="inlineStr">
        <is>
          <t>WESTERN DIGITAL</t>
        </is>
      </c>
      <c r="C118" s="2" t="inlineStr">
        <is>
          <t>WD181PURP</t>
        </is>
      </c>
      <c r="D118" s="2" t="inlineStr">
        <is>
          <t>Жесткий диск SATA 18TB 6GB/S 512MB PURPLE WD181PURP WDC</t>
        </is>
      </c>
      <c r="E118" s="2">
        <v>100</v>
      </c>
      <c r="F118" s="2">
        <v>100</v>
      </c>
      <c r="H118" s="2">
        <v>509</v>
      </c>
      <c r="I118" s="2" t="inlineStr">
        <is>
          <t>$</t>
        </is>
      </c>
      <c r="J118" s="2">
        <f>HYPERLINK("https://app.astro.lead-studio.pro/product/a474df81-5ccc-405d-a45d-827865763a06")</f>
      </c>
    </row>
    <row r="119" spans="1:10" customHeight="0">
      <c r="A119" s="2" t="inlineStr">
        <is>
          <t>Материнские платы AMD CPU</t>
        </is>
      </c>
      <c r="B119" s="2" t="inlineStr">
        <is>
          <t>MSI</t>
        </is>
      </c>
      <c r="C119" s="2" t="inlineStr">
        <is>
          <t>MPG B650 EDGE WIFI</t>
        </is>
      </c>
      <c r="D119" s="2" t="inlineStr">
        <is>
          <t>Материнская плата AMD B650 SAM5 ATX MPG B650 EDGE WIFI MSI</t>
        </is>
      </c>
      <c r="E119" s="2" t="inlineStr">
        <is>
          <t>2</t>
        </is>
      </c>
      <c r="F119" s="2" t="inlineStr">
        <is>
          <t>2</t>
        </is>
      </c>
      <c r="H119" s="2">
        <v>337</v>
      </c>
      <c r="I119" s="2" t="inlineStr">
        <is>
          <t>$</t>
        </is>
      </c>
      <c r="J119" s="2">
        <f>HYPERLINK("https://app.astro.lead-studio.pro/product/8202a983-e21b-4ac4-9f8b-4becb9deacd5")</f>
      </c>
    </row>
    <row r="120" spans="1:10" customHeight="0">
      <c r="A120" s="2" t="inlineStr">
        <is>
          <t>Материнские платы AMD CPU</t>
        </is>
      </c>
      <c r="B120" s="2" t="inlineStr">
        <is>
          <t>MSI</t>
        </is>
      </c>
      <c r="C120" s="2" t="inlineStr">
        <is>
          <t>MPG X670E CARBON WIFI</t>
        </is>
      </c>
      <c r="D120" s="2" t="inlineStr">
        <is>
          <t>Материнская плата AMD X670 SAM5 ATX MPG X670E CARBON WIFI MSI</t>
        </is>
      </c>
      <c r="E120" s="2" t="inlineStr">
        <is>
          <t>10</t>
        </is>
      </c>
      <c r="F120" s="2" t="inlineStr">
        <is>
          <t>10</t>
        </is>
      </c>
      <c r="H120" s="2">
        <v>526</v>
      </c>
      <c r="I120" s="2" t="inlineStr">
        <is>
          <t>$</t>
        </is>
      </c>
      <c r="J120" s="2">
        <f>HYPERLINK("https://app.astro.lead-studio.pro/product/3279d74e-cd0f-480c-bb68-712d0d2e12c5")</f>
      </c>
    </row>
    <row r="121" spans="1:10" customHeight="0">
      <c r="A121" s="2" t="inlineStr">
        <is>
          <t>Материнские платы Intel CPU</t>
        </is>
      </c>
      <c r="B121" s="2" t="inlineStr">
        <is>
          <t>GIGABYTE</t>
        </is>
      </c>
      <c r="C121" s="2" t="inlineStr">
        <is>
          <t>X870 A ELITE WF7 ICE 1.1</t>
        </is>
      </c>
      <c r="D121" s="2" t="inlineStr">
        <is>
          <t>Материнская плата AMD X870 SAM5 ATX X870 A ELITE WF7 ICE GIGABYTE</t>
        </is>
      </c>
      <c r="E121" s="2">
        <v>40</v>
      </c>
      <c r="F121" s="2">
        <v>40</v>
      </c>
      <c r="H121" s="2">
        <v>404</v>
      </c>
      <c r="I121" s="2" t="inlineStr">
        <is>
          <t>$</t>
        </is>
      </c>
      <c r="J121" s="2">
        <f>HYPERLINK("https://app.astro.lead-studio.pro/product/6457240a-6063-412b-9c39-006a2ab2864f")</f>
      </c>
    </row>
    <row r="122" spans="1:10" customHeight="0">
      <c r="A122" s="2" t="inlineStr">
        <is>
          <t>Материнские платы Intel CPU</t>
        </is>
      </c>
      <c r="B122" s="2" t="inlineStr">
        <is>
          <t>GIGABYTE</t>
        </is>
      </c>
      <c r="C122" s="2" t="inlineStr">
        <is>
          <t>X870 A ELITE WIFI7 1.1</t>
        </is>
      </c>
      <c r="D122" s="2" t="inlineStr">
        <is>
          <t>Материнская плата AMD X870 SAM5 ATX X870 A ELITE WIFI7 GIGABYTE</t>
        </is>
      </c>
      <c r="E122" s="2">
        <v>10</v>
      </c>
      <c r="F122" s="2">
        <v>10</v>
      </c>
      <c r="H122" s="2">
        <v>408</v>
      </c>
      <c r="I122" s="2" t="inlineStr">
        <is>
          <t>$</t>
        </is>
      </c>
      <c r="J122" s="2">
        <f>HYPERLINK("https://app.astro.lead-studio.pro/product/2005cb31-dd63-44e4-a5e9-c025b4eb4f4a")</f>
      </c>
    </row>
    <row r="123" spans="1:10" customHeight="0">
      <c r="A123" s="2" t="inlineStr">
        <is>
          <t>Материнские платы Intel CPU</t>
        </is>
      </c>
      <c r="B123" s="2" t="inlineStr">
        <is>
          <t>GIGABYTE</t>
        </is>
      </c>
      <c r="C123" s="2" t="inlineStr">
        <is>
          <t>X870 GAMING X WIFI7 1.1</t>
        </is>
      </c>
      <c r="D123" s="2" t="inlineStr">
        <is>
          <t>Материнская плата AMD X870 SAM5 ATX X870 GAMING X WIFI7 GIGABYTE</t>
        </is>
      </c>
      <c r="E123" s="2" t="inlineStr">
        <is>
          <t>3</t>
        </is>
      </c>
      <c r="F123" s="2" t="inlineStr">
        <is>
          <t>3</t>
        </is>
      </c>
      <c r="H123" s="2">
        <v>365</v>
      </c>
      <c r="I123" s="2" t="inlineStr">
        <is>
          <t>$</t>
        </is>
      </c>
      <c r="J123" s="2">
        <f>HYPERLINK("https://app.astro.lead-studio.pro/product/d4bdf15a-423c-4333-af98-d38e75d0aa21")</f>
      </c>
    </row>
    <row r="124" spans="1:10" customHeight="0">
      <c r="A124" s="2" t="inlineStr">
        <is>
          <t>Материнские платы Intel CPU</t>
        </is>
      </c>
      <c r="B124" s="2" t="inlineStr">
        <is>
          <t>GIGABYTE</t>
        </is>
      </c>
      <c r="C124" s="2" t="inlineStr">
        <is>
          <t>X870E A ELITE WIFI7 1.1</t>
        </is>
      </c>
      <c r="D124" s="2" t="inlineStr">
        <is>
          <t>Материнская плата AMD X870 SAM5 ATX X870E A ELITE WIFI7 GIGABYTE</t>
        </is>
      </c>
      <c r="E124" s="2" t="inlineStr">
        <is>
          <t>8</t>
        </is>
      </c>
      <c r="F124" s="2" t="inlineStr">
        <is>
          <t>8</t>
        </is>
      </c>
      <c r="H124" s="2">
        <v>432</v>
      </c>
      <c r="I124" s="2" t="inlineStr">
        <is>
          <t>$</t>
        </is>
      </c>
      <c r="J124" s="2">
        <f>HYPERLINK("https://app.astro.lead-studio.pro/product/40e3cf5c-6b77-4be2-af6f-db7d37c5a8c1")</f>
      </c>
    </row>
    <row r="125" spans="1:10" customHeight="0">
      <c r="A125" s="2" t="inlineStr">
        <is>
          <t>Материнские платы Intel CPU</t>
        </is>
      </c>
      <c r="B125" s="2" t="inlineStr">
        <is>
          <t>GIGABYTE</t>
        </is>
      </c>
      <c r="C125" s="2" t="inlineStr">
        <is>
          <t>X870E AORUS PRO</t>
        </is>
      </c>
      <c r="D125" s="2" t="inlineStr">
        <is>
          <t>Материнская плата AMD X870 SAM5 ATX X870E AORUS PRO GIGABYTE</t>
        </is>
      </c>
      <c r="E125" s="2" t="inlineStr">
        <is>
          <t>6</t>
        </is>
      </c>
      <c r="F125" s="2" t="inlineStr">
        <is>
          <t>6</t>
        </is>
      </c>
      <c r="H125" s="2">
        <v>496</v>
      </c>
      <c r="I125" s="2" t="inlineStr">
        <is>
          <t>$</t>
        </is>
      </c>
      <c r="J125" s="2">
        <f>HYPERLINK("https://app.astro.lead-studio.pro/product/37c63256-c326-4d6f-a3dc-4bcd11d2435d")</f>
      </c>
    </row>
    <row r="126" spans="1:10" customHeight="0">
      <c r="A126" s="2" t="inlineStr">
        <is>
          <t>Материнские платы Intel CPU</t>
        </is>
      </c>
      <c r="B126" s="2" t="inlineStr">
        <is>
          <t>GIGABYTE</t>
        </is>
      </c>
      <c r="C126" s="2" t="inlineStr">
        <is>
          <t>X870E AORUS PRO ICE</t>
        </is>
      </c>
      <c r="D126" s="2" t="inlineStr">
        <is>
          <t>Материнская плата AMD X870 SAM5 ATX X870E AORUS PRO ICE GIGABYTE</t>
        </is>
      </c>
      <c r="E126" s="2">
        <v>10</v>
      </c>
      <c r="F126" s="2">
        <v>10</v>
      </c>
      <c r="H126" s="2">
        <v>485</v>
      </c>
      <c r="I126" s="2" t="inlineStr">
        <is>
          <t>$</t>
        </is>
      </c>
      <c r="J126" s="2">
        <f>HYPERLINK("https://app.astro.lead-studio.pro/product/1b6bcc03-46ad-4dc6-b7ab-730d97d66dfb")</f>
      </c>
    </row>
    <row r="127" spans="1:10" customHeight="0">
      <c r="A127" s="2" t="inlineStr">
        <is>
          <t>Материнские платы Intel CPU</t>
        </is>
      </c>
      <c r="B127" s="2" t="inlineStr">
        <is>
          <t>MSI</t>
        </is>
      </c>
      <c r="C127" s="2" t="inlineStr">
        <is>
          <t>MPG Z790 CARBON WIFI II</t>
        </is>
      </c>
      <c r="D127" s="2" t="inlineStr">
        <is>
          <t>Материнская плата Z790 S1700 ATX MPG Z790 CARBON WIFI II MSI</t>
        </is>
      </c>
      <c r="E127" s="2" t="inlineStr">
        <is>
          <t>9</t>
        </is>
      </c>
      <c r="F127" s="2" t="inlineStr">
        <is>
          <t>9</t>
        </is>
      </c>
      <c r="H127" s="2">
        <v>412</v>
      </c>
      <c r="I127" s="2" t="inlineStr">
        <is>
          <t>$</t>
        </is>
      </c>
      <c r="J127" s="2">
        <f>HYPERLINK("https://app.astro.lead-studio.pro/product/6ffd3b5e-79ba-4b38-9c86-4233e7f78bb1")</f>
      </c>
    </row>
    <row r="128" spans="1:10" customHeight="0">
      <c r="A128" s="2" t="inlineStr">
        <is>
          <t>Материнские платы Intel CPU</t>
        </is>
      </c>
      <c r="B128" s="2" t="inlineStr">
        <is>
          <t>MSI</t>
        </is>
      </c>
      <c r="C128" s="2" t="inlineStr">
        <is>
          <t>MPG Z790 CARBON WIFI</t>
        </is>
      </c>
      <c r="D128" s="2" t="inlineStr">
        <is>
          <t>Материнская плата Z790 S1700 ATX MPG Z790 CARBON WIFI MSI</t>
        </is>
      </c>
      <c r="E128" s="2">
        <v>40</v>
      </c>
      <c r="F128" s="2">
        <v>40</v>
      </c>
      <c r="H128" s="2">
        <v>389</v>
      </c>
      <c r="I128" s="2" t="inlineStr">
        <is>
          <t>$</t>
        </is>
      </c>
      <c r="J128" s="2">
        <f>HYPERLINK("https://app.astro.lead-studio.pro/product/e49df47f-12b0-45bc-96f1-a53d6626ba8d")</f>
      </c>
    </row>
    <row r="129" spans="1:10" customHeight="0">
      <c r="A129" s="2" t="inlineStr">
        <is>
          <t>Материнские платы Intel CPU</t>
        </is>
      </c>
      <c r="B129" s="2" t="inlineStr">
        <is>
          <t>MSI</t>
        </is>
      </c>
      <c r="C129" s="2" t="inlineStr">
        <is>
          <t>MPG Z790 EDGE TI MAX WIFI</t>
        </is>
      </c>
      <c r="D129" s="2" t="inlineStr">
        <is>
          <t>Материнская плата Z790 S1700 ATX MPG Z790 EDGE TI MAX WIFI MSI</t>
        </is>
      </c>
      <c r="E129" s="2">
        <v>10</v>
      </c>
      <c r="F129" s="2">
        <v>10</v>
      </c>
      <c r="H129" s="2">
        <v>385</v>
      </c>
      <c r="I129" s="2" t="inlineStr">
        <is>
          <t>$</t>
        </is>
      </c>
      <c r="J129" s="2">
        <f>HYPERLINK("https://app.astro.lead-studio.pro/product/782ca8b7-d0fa-45a3-861a-511f40c95106")</f>
      </c>
    </row>
    <row r="130" spans="1:10" customHeight="0">
      <c r="A130" s="2" t="inlineStr">
        <is>
          <t>Материнские платы Intel CPU</t>
        </is>
      </c>
      <c r="B130" s="2" t="inlineStr">
        <is>
          <t>GIGABYTE</t>
        </is>
      </c>
      <c r="C130" s="2" t="inlineStr">
        <is>
          <t>Z790 A PRO X WIFI7</t>
        </is>
      </c>
      <c r="D130" s="2" t="inlineStr">
        <is>
          <t>Материнская плата Z790 S1700 ATX Z790 A PRO X WIFI7 GIGABYTE</t>
        </is>
      </c>
      <c r="E130" s="2" t="inlineStr">
        <is>
          <t>5</t>
        </is>
      </c>
      <c r="F130" s="2" t="inlineStr">
        <is>
          <t>5</t>
        </is>
      </c>
      <c r="H130" s="2">
        <v>339</v>
      </c>
      <c r="I130" s="2" t="inlineStr">
        <is>
          <t>$</t>
        </is>
      </c>
      <c r="J130" s="2">
        <f>HYPERLINK("https://app.astro.lead-studio.pro/product/d0ef0edc-f89d-410f-a0e1-45c2af395d64")</f>
      </c>
    </row>
    <row r="131" spans="1:10" customHeight="0">
      <c r="A131" s="2" t="inlineStr">
        <is>
          <t>Материнские платы Intel CPU</t>
        </is>
      </c>
      <c r="B131" s="2" t="inlineStr">
        <is>
          <t>MSI</t>
        </is>
      </c>
      <c r="C131" s="2" t="inlineStr">
        <is>
          <t>Z790 PROJECT ZERO</t>
        </is>
      </c>
      <c r="D131" s="2" t="inlineStr">
        <is>
          <t>Материнская плата Z790 S1700 ATX Z790 PROJECT ZERO MSI</t>
        </is>
      </c>
      <c r="E131" s="2">
        <v>10</v>
      </c>
      <c r="F131" s="2">
        <v>10</v>
      </c>
      <c r="H131" s="2">
        <v>337</v>
      </c>
      <c r="I131" s="2" t="inlineStr">
        <is>
          <t>$</t>
        </is>
      </c>
      <c r="J131" s="2">
        <f>HYPERLINK("https://app.astro.lead-studio.pro/product/acc78fa0-7c4e-4eb2-b5eb-eee5151b1b9c")</f>
      </c>
    </row>
    <row r="132" spans="1:10" customHeight="0">
      <c r="A132" s="2" t="inlineStr">
        <is>
          <t>Материнские платы Intel CPU</t>
        </is>
      </c>
      <c r="B132" s="2" t="inlineStr">
        <is>
          <t>MSI</t>
        </is>
      </c>
      <c r="C132" s="2" t="inlineStr">
        <is>
          <t>MEG Z890 ACE</t>
        </is>
      </c>
      <c r="D132" s="2" t="inlineStr">
        <is>
          <t>Материнская плата Z890 LGA1851 ATX MEG Z890 ACE MSI</t>
        </is>
      </c>
      <c r="E132" s="2" t="inlineStr">
        <is>
          <t>7</t>
        </is>
      </c>
      <c r="F132" s="2" t="inlineStr">
        <is>
          <t>7</t>
        </is>
      </c>
      <c r="H132" s="2">
        <v>1006</v>
      </c>
      <c r="I132" s="2" t="inlineStr">
        <is>
          <t>$</t>
        </is>
      </c>
      <c r="J132" s="2">
        <f>HYPERLINK("https://app.astro.lead-studio.pro/product/6f27b50c-7460-4efd-b804-a4b2241f26a1")</f>
      </c>
    </row>
    <row r="133" spans="1:10" customHeight="0">
      <c r="A133" s="2" t="inlineStr">
        <is>
          <t>Материнские платы Intel CPU</t>
        </is>
      </c>
      <c r="B133" s="2" t="inlineStr">
        <is>
          <t>MSI</t>
        </is>
      </c>
      <c r="C133" s="2" t="inlineStr">
        <is>
          <t>MAG Z890 TOMAHAWK WIFI</t>
        </is>
      </c>
      <c r="D133" s="2" t="inlineStr">
        <is>
          <t>Материнская плата Z890 S1851 ATX MAG Z890 TOMAHAWK WIFI MSI</t>
        </is>
      </c>
      <c r="E133" s="2">
        <v>40</v>
      </c>
      <c r="F133" s="2">
        <v>40</v>
      </c>
      <c r="H133" s="2">
        <v>478</v>
      </c>
      <c r="I133" s="2" t="inlineStr">
        <is>
          <t>$</t>
        </is>
      </c>
      <c r="J133" s="2">
        <f>HYPERLINK("https://app.astro.lead-studio.pro/product/ab7ba276-8b57-4984-a4b1-c088c54373fd")</f>
      </c>
    </row>
    <row r="134" spans="1:10" customHeight="0">
      <c r="A134" s="2" t="inlineStr">
        <is>
          <t>Материнские платы Intel CPU</t>
        </is>
      </c>
      <c r="B134" s="2" t="inlineStr">
        <is>
          <t>MSI</t>
        </is>
      </c>
      <c r="C134" s="2" t="inlineStr">
        <is>
          <t>MPG Z890 EDGE TI WIFI</t>
        </is>
      </c>
      <c r="D134" s="2" t="inlineStr">
        <is>
          <t>Материнская плата Z890 S1851 ATX MPG Z890 EDGE TI WIFI MSI</t>
        </is>
      </c>
      <c r="E134" s="2">
        <v>10</v>
      </c>
      <c r="F134" s="2">
        <v>10</v>
      </c>
      <c r="H134" s="2">
        <v>538</v>
      </c>
      <c r="I134" s="2" t="inlineStr">
        <is>
          <t>$</t>
        </is>
      </c>
      <c r="J134" s="2">
        <f>HYPERLINK("https://app.astro.lead-studio.pro/product/9c360767-b734-4629-8c39-b7960768d303")</f>
      </c>
    </row>
    <row r="135" spans="1:10" customHeight="0">
      <c r="A135" s="2" t="inlineStr">
        <is>
          <t>Материнские платы Intel CPU</t>
        </is>
      </c>
      <c r="B135" s="2" t="inlineStr">
        <is>
          <t>MSI</t>
        </is>
      </c>
      <c r="C135" s="2" t="inlineStr">
        <is>
          <t>PRO Z890-A WIFI</t>
        </is>
      </c>
      <c r="D135" s="2" t="inlineStr">
        <is>
          <t>Материнская плата Z890 S1851 ATX PRO Z890-A WIFI MSI</t>
        </is>
      </c>
      <c r="E135" s="2">
        <v>40</v>
      </c>
      <c r="F135" s="2">
        <v>40</v>
      </c>
      <c r="H135" s="2">
        <v>436</v>
      </c>
      <c r="I135" s="2" t="inlineStr">
        <is>
          <t>$</t>
        </is>
      </c>
      <c r="J135" s="2">
        <f>HYPERLINK("https://app.astro.lead-studio.pro/product/7b5f60d9-8f83-4af4-a145-79ad31a3baca")</f>
      </c>
    </row>
    <row r="136" spans="1:10" customHeight="0">
      <c r="A136" s="2" t="inlineStr">
        <is>
          <t>Материнские платы Intel CPU</t>
        </is>
      </c>
      <c r="B136" s="2" t="inlineStr">
        <is>
          <t>MSI</t>
        </is>
      </c>
      <c r="C136" s="2" t="inlineStr">
        <is>
          <t>PRO Z890-P WIFI</t>
        </is>
      </c>
      <c r="D136" s="2" t="inlineStr">
        <is>
          <t>Материнская плата Z890 S1851 ATX PRO Z890-P WIFI MSI</t>
        </is>
      </c>
      <c r="E136" s="2">
        <v>40</v>
      </c>
      <c r="F136" s="2">
        <v>40</v>
      </c>
      <c r="H136" s="2">
        <v>345</v>
      </c>
      <c r="I136" s="2" t="inlineStr">
        <is>
          <t>$</t>
        </is>
      </c>
      <c r="J136" s="2">
        <f>HYPERLINK("https://app.astro.lead-studio.pro/product/a56ab4b5-0827-45b5-a742-75d7e4bb90dc")</f>
      </c>
    </row>
    <row r="137" spans="1:10" customHeight="0">
      <c r="A137" s="2" t="inlineStr">
        <is>
          <t>Материнские платы Intel CPU</t>
        </is>
      </c>
      <c r="B137" s="2" t="inlineStr">
        <is>
          <t>GIGABYTE</t>
        </is>
      </c>
      <c r="C137" s="2" t="inlineStr">
        <is>
          <t>Z890 A ELITE X ICE 1.1</t>
        </is>
      </c>
      <c r="D137" s="2" t="inlineStr">
        <is>
          <t>Материнская плата Z890 S1851 ATX Z890 A ELITE X ICE GIGABYTE</t>
        </is>
      </c>
      <c r="E137" s="2">
        <v>10</v>
      </c>
      <c r="F137" s="2">
        <v>10</v>
      </c>
      <c r="H137" s="2">
        <v>416</v>
      </c>
      <c r="I137" s="2" t="inlineStr">
        <is>
          <t>$</t>
        </is>
      </c>
      <c r="J137" s="2">
        <f>HYPERLINK("https://app.astro.lead-studio.pro/product/d851a895-6007-41eb-a141-be8e04931e2f")</f>
      </c>
    </row>
    <row r="138" spans="1:10" customHeight="0">
      <c r="A138" s="2" t="inlineStr">
        <is>
          <t>Материнские платы Intel CPU</t>
        </is>
      </c>
      <c r="B138" s="2" t="inlineStr">
        <is>
          <t>GIGABYTE</t>
        </is>
      </c>
      <c r="C138" s="2" t="inlineStr">
        <is>
          <t>Z890 AORUS PRO ICE</t>
        </is>
      </c>
      <c r="D138" s="2" t="inlineStr">
        <is>
          <t>Материнская плата Z890 S1851 ATX Z890 AORUS PRO ICE GIGABYTE</t>
        </is>
      </c>
      <c r="E138" s="2">
        <v>10</v>
      </c>
      <c r="F138" s="2">
        <v>10</v>
      </c>
      <c r="H138" s="2">
        <v>503</v>
      </c>
      <c r="I138" s="2" t="inlineStr">
        <is>
          <t>$</t>
        </is>
      </c>
      <c r="J138" s="2">
        <f>HYPERLINK("https://app.astro.lead-studio.pro/product/efa50c3f-3147-42fa-9c5a-064bc8d7fec0")</f>
      </c>
    </row>
    <row r="139" spans="1:10" customHeight="0">
      <c r="A139" s="2" t="inlineStr">
        <is>
          <t>Материнские платы Intel CPU</t>
        </is>
      </c>
      <c r="B139" s="2" t="inlineStr">
        <is>
          <t>MSI</t>
        </is>
      </c>
      <c r="C139" s="2" t="inlineStr">
        <is>
          <t>Z890 GAMING PLUS WIFI</t>
        </is>
      </c>
      <c r="D139" s="2" t="inlineStr">
        <is>
          <t>Материнская плата Z890 S1851 ATX Z890 GAMING PLUS WIFI MSI</t>
        </is>
      </c>
      <c r="E139" s="2">
        <v>40</v>
      </c>
      <c r="F139" s="2">
        <v>40</v>
      </c>
      <c r="H139" s="2">
        <v>389</v>
      </c>
      <c r="I139" s="2" t="inlineStr">
        <is>
          <t>$</t>
        </is>
      </c>
      <c r="J139" s="2">
        <f>HYPERLINK("https://app.astro.lead-studio.pro/product/d8d51e3d-37a1-4c00-86e1-0da138e2c8e8")</f>
      </c>
    </row>
    <row r="140" spans="1:10" customHeight="0">
      <c r="A140" s="2" t="inlineStr">
        <is>
          <t>Процессоры</t>
        </is>
      </c>
      <c r="B140" s="2" t="inlineStr">
        <is>
          <t>INTEL</t>
        </is>
      </c>
      <c r="C140" s="2" t="inlineStr">
        <is>
          <t>CM8071504820805 S RMBA 99C4X9</t>
        </is>
      </c>
      <c r="D140" s="2" t="inlineStr">
        <is>
          <t>Процессор Intel CORE I7-13700 S1700 OEM 2.1G CM8071504820805 S RMBA IN</t>
        </is>
      </c>
      <c r="E140" s="2">
        <v>10</v>
      </c>
      <c r="F140" s="2">
        <v>10</v>
      </c>
      <c r="H140" s="2">
        <v>410</v>
      </c>
      <c r="I140" s="2" t="inlineStr">
        <is>
          <t>$</t>
        </is>
      </c>
      <c r="J140" s="2">
        <f>HYPERLINK("https://app.astro.lead-studio.pro/product/6ebc5c9e-a38f-45ab-8236-84b68b93cada")</f>
      </c>
    </row>
    <row r="141" spans="1:10" customHeight="0">
      <c r="A141" s="2" t="inlineStr">
        <is>
          <t>Процессоры</t>
        </is>
      </c>
      <c r="B141" s="2" t="inlineStr">
        <is>
          <t>INTEL</t>
        </is>
      </c>
      <c r="C141" s="2" t="inlineStr">
        <is>
          <t>CM8071504820806 S RMBB 99C4XD</t>
        </is>
      </c>
      <c r="D141" s="2" t="inlineStr">
        <is>
          <t>Процессор Intel CORE I7-13700F S1700 OEM 2.1G CM8071504820806 S RMBB IN</t>
        </is>
      </c>
      <c r="E141" s="2">
        <v>10</v>
      </c>
      <c r="F141" s="2">
        <v>10</v>
      </c>
      <c r="H141" s="2">
        <v>393</v>
      </c>
      <c r="I141" s="2" t="inlineStr">
        <is>
          <t>$</t>
        </is>
      </c>
      <c r="J141" s="2">
        <f>HYPERLINK("https://app.astro.lead-studio.pro/product/b6c7c930-7b65-4e41-b60a-a1d3bc0fbfd2")</f>
      </c>
    </row>
    <row r="142" spans="1:10" customHeight="0">
      <c r="A142" s="2" t="inlineStr">
        <is>
          <t>Процессоры</t>
        </is>
      </c>
      <c r="B142" s="2" t="inlineStr">
        <is>
          <t>INTEL</t>
        </is>
      </c>
      <c r="C142" s="2" t="inlineStr">
        <is>
          <t>CM8071504820705 S RMB8 99C4X7</t>
        </is>
      </c>
      <c r="D142" s="2" t="inlineStr">
        <is>
          <t>Процессор Intel CORE I7-13700K S1700 OEM 3.4G CM8071504820705 S RMB8 IN</t>
        </is>
      </c>
      <c r="E142" s="2">
        <v>10</v>
      </c>
      <c r="F142" s="2">
        <v>10</v>
      </c>
      <c r="H142" s="2">
        <v>436</v>
      </c>
      <c r="I142" s="2" t="inlineStr">
        <is>
          <t>$</t>
        </is>
      </c>
      <c r="J142" s="2">
        <f>HYPERLINK("https://app.astro.lead-studio.pro/product/7f449ebc-be77-4122-b110-7b8af6edc656")</f>
      </c>
    </row>
    <row r="143" spans="1:10" customHeight="0">
      <c r="A143" s="2" t="inlineStr">
        <is>
          <t>Процессоры</t>
        </is>
      </c>
      <c r="B143" s="2" t="inlineStr">
        <is>
          <t>INTEL</t>
        </is>
      </c>
      <c r="C143" s="2" t="inlineStr">
        <is>
          <t>CM8071504820706 S RMB9 99C4X8</t>
        </is>
      </c>
      <c r="D143" s="2" t="inlineStr">
        <is>
          <t>Процессор Intel CORE I7-13700KF S1700 OEM 3.4G CM8071504820706 S RMB9 IN</t>
        </is>
      </c>
      <c r="E143" s="2">
        <v>10</v>
      </c>
      <c r="F143" s="2">
        <v>10</v>
      </c>
      <c r="H143" s="2">
        <v>388</v>
      </c>
      <c r="I143" s="2" t="inlineStr">
        <is>
          <t>$</t>
        </is>
      </c>
      <c r="J143" s="2">
        <f>HYPERLINK("https://app.astro.lead-studio.pro/product/1c3124b8-7b14-4da8-8041-4693a9387899")</f>
      </c>
    </row>
    <row r="144" spans="1:10" customHeight="0">
      <c r="A144" s="2" t="inlineStr">
        <is>
          <t>Процессоры</t>
        </is>
      </c>
      <c r="B144" s="2" t="inlineStr">
        <is>
          <t>INTEL</t>
        </is>
      </c>
      <c r="C144" s="2" t="inlineStr">
        <is>
          <t>CM8071504820816 S RN3Z 99CFF2</t>
        </is>
      </c>
      <c r="D144" s="2" t="inlineStr">
        <is>
          <t>Процессор Intel CORE I7-14700F S1700 OEM 2.1G CM8071504820816 S RN3Z IN</t>
        </is>
      </c>
      <c r="E144" s="2">
        <v>10</v>
      </c>
      <c r="F144" s="2">
        <v>10</v>
      </c>
      <c r="H144" s="2">
        <v>389</v>
      </c>
      <c r="I144" s="2" t="inlineStr">
        <is>
          <t>$</t>
        </is>
      </c>
      <c r="J144" s="2">
        <f>HYPERLINK("https://app.astro.lead-studio.pro/product/7b077eef-47b4-4e40-8edb-c9db7e1daae0")</f>
      </c>
    </row>
    <row r="145" spans="1:10" customHeight="0">
      <c r="A145" s="2" t="inlineStr">
        <is>
          <t>Процессоры</t>
        </is>
      </c>
      <c r="B145" s="2" t="inlineStr">
        <is>
          <t>INTEL</t>
        </is>
      </c>
      <c r="C145" s="2" t="inlineStr">
        <is>
          <t>CM8071504820721 S RN3X 99CFDW</t>
        </is>
      </c>
      <c r="D145" s="2" t="inlineStr">
        <is>
          <t>Процессор Intel CORE I7-14700K S1700 OEM 3.4G CM8071504820721 S RN3X IN</t>
        </is>
      </c>
      <c r="E145" s="2">
        <v>10</v>
      </c>
      <c r="F145" s="2">
        <v>10</v>
      </c>
      <c r="H145" s="2">
        <v>463</v>
      </c>
      <c r="I145" s="2" t="inlineStr">
        <is>
          <t>$</t>
        </is>
      </c>
      <c r="J145" s="2">
        <f>HYPERLINK("https://app.astro.lead-studio.pro/product/8dafdfe9-c1f9-4126-ad65-522e4c34d9ed")</f>
      </c>
    </row>
    <row r="146" spans="1:10" customHeight="0">
      <c r="A146" s="2" t="inlineStr">
        <is>
          <t>Процессоры</t>
        </is>
      </c>
      <c r="B146" s="2" t="inlineStr">
        <is>
          <t>INTEL</t>
        </is>
      </c>
      <c r="C146" s="2" t="inlineStr">
        <is>
          <t>CM8067702868314 S R338 953004</t>
        </is>
      </c>
      <c r="D146" s="2" t="inlineStr">
        <is>
          <t>Процессор Intel CORE I7-7700 S1151 OEM 8M 3.6G CM8067702868314 S R338 IN</t>
        </is>
      </c>
      <c r="E146" s="2">
        <v>10</v>
      </c>
      <c r="F146" s="2">
        <v>10</v>
      </c>
      <c r="H146" s="2">
        <v>379</v>
      </c>
      <c r="I146" s="2" t="inlineStr">
        <is>
          <t>$</t>
        </is>
      </c>
      <c r="J146" s="2">
        <f>HYPERLINK("https://app.astro.lead-studio.pro/product/610a6ede-15e1-4aa0-af26-e90b6a7a9360")</f>
      </c>
    </row>
    <row r="147" spans="1:10" customHeight="0">
      <c r="A147" s="2" t="inlineStr">
        <is>
          <t>Процессоры</t>
        </is>
      </c>
      <c r="B147" s="2" t="inlineStr">
        <is>
          <t>INTEL</t>
        </is>
      </c>
      <c r="C147" s="2" t="inlineStr">
        <is>
          <t>CM8068403358316 S R3QS 960618</t>
        </is>
      </c>
      <c r="D147" s="2" t="inlineStr">
        <is>
          <t>Процессор Intel CORE I7-8700 S1151 OEM 3.2G CM8068403358316 S R3QS IN</t>
        </is>
      </c>
      <c r="E147" s="2">
        <v>10</v>
      </c>
      <c r="F147" s="2">
        <v>10</v>
      </c>
      <c r="H147" s="2">
        <v>397</v>
      </c>
      <c r="I147" s="2" t="inlineStr">
        <is>
          <t>$</t>
        </is>
      </c>
      <c r="J147" s="2">
        <f>HYPERLINK("https://app.astro.lead-studio.pro/product/9c4d3286-fde1-426c-88db-218f6d8f4d1b")</f>
      </c>
    </row>
    <row r="148" spans="1:10" customHeight="0">
      <c r="A148" s="2" t="inlineStr">
        <is>
          <t>Процессоры</t>
        </is>
      </c>
      <c r="B148" s="2" t="inlineStr">
        <is>
          <t>INTEL</t>
        </is>
      </c>
      <c r="C148" s="2" t="inlineStr">
        <is>
          <t>CM8071504549317 S RL4K 99AMVC</t>
        </is>
      </c>
      <c r="D148" s="2" t="inlineStr">
        <is>
          <t>Процессор Intel CORE I9-12900 S1700 OEM 2.4G CM8071504549317 S RL4K IN</t>
        </is>
      </c>
      <c r="E148" s="2" t="inlineStr">
        <is>
          <t>1</t>
        </is>
      </c>
      <c r="F148" s="2" t="inlineStr">
        <is>
          <t>1</t>
        </is>
      </c>
      <c r="H148" s="2">
        <v>527</v>
      </c>
      <c r="I148" s="2" t="inlineStr">
        <is>
          <t>$</t>
        </is>
      </c>
      <c r="J148" s="2">
        <f>HYPERLINK("https://app.astro.lead-studio.pro/product/40057719-e8b9-47f4-b557-0dfa680fce87")</f>
      </c>
    </row>
    <row r="149" spans="1:10" customHeight="0">
      <c r="A149" s="2" t="inlineStr">
        <is>
          <t>Процессоры</t>
        </is>
      </c>
      <c r="B149" s="2" t="inlineStr">
        <is>
          <t>INTEL</t>
        </is>
      </c>
      <c r="C149" s="2" t="inlineStr">
        <is>
          <t>CM8071504549231 S RL4J 99AMV4</t>
        </is>
      </c>
      <c r="D149" s="2" t="inlineStr">
        <is>
          <t>Процессор Intel CORE I9-12900KF S1700 OEM 3.2G CM8071504549231 S RL4J IN</t>
        </is>
      </c>
      <c r="E149" s="2">
        <v>40</v>
      </c>
      <c r="F149" s="2">
        <v>40</v>
      </c>
      <c r="H149" s="2">
        <v>370</v>
      </c>
      <c r="I149" s="2" t="inlineStr">
        <is>
          <t>$</t>
        </is>
      </c>
      <c r="J149" s="2">
        <f>HYPERLINK("https://app.astro.lead-studio.pro/product/d0799eea-8872-4c8a-a829-08fdfd1976ad")</f>
      </c>
    </row>
    <row r="150" spans="1:10" customHeight="0">
      <c r="A150" s="2" t="inlineStr">
        <is>
          <t>Процессоры</t>
        </is>
      </c>
      <c r="B150" s="2" t="inlineStr">
        <is>
          <t>INTEL</t>
        </is>
      </c>
      <c r="C150" s="2" t="inlineStr">
        <is>
          <t>CM8071504820606 S RMB7 99C4X4</t>
        </is>
      </c>
      <c r="D150" s="2" t="inlineStr">
        <is>
          <t>Процессор Intel CORE I9-13900F S1700 OEM 2.0G CM8071504820606 S RMB7 IN</t>
        </is>
      </c>
      <c r="E150" s="2" t="inlineStr">
        <is>
          <t>1</t>
        </is>
      </c>
      <c r="F150" s="2" t="inlineStr">
        <is>
          <t>1</t>
        </is>
      </c>
      <c r="H150" s="2">
        <v>530</v>
      </c>
      <c r="I150" s="2" t="inlineStr">
        <is>
          <t>$</t>
        </is>
      </c>
      <c r="J150" s="2">
        <f>HYPERLINK("https://app.astro.lead-studio.pro/product/e1900bea-6feb-4a24-88f0-630fba4f9e3d")</f>
      </c>
    </row>
    <row r="151" spans="1:10" customHeight="0">
      <c r="A151" s="2" t="inlineStr">
        <is>
          <t>Процессоры</t>
        </is>
      </c>
      <c r="B151" s="2" t="inlineStr">
        <is>
          <t>INTEL</t>
        </is>
      </c>
      <c r="C151" s="2" t="inlineStr">
        <is>
          <t>CM8071505094012 S RMBJ 99C505</t>
        </is>
      </c>
      <c r="D151" s="2" t="inlineStr">
        <is>
          <t>Процессор Intel CORE I9-13900KF S1700 OEM 3.0G CM8071505094012 S RMBJ IN</t>
        </is>
      </c>
      <c r="E151" s="2">
        <v>100</v>
      </c>
      <c r="F151" s="2">
        <v>100</v>
      </c>
      <c r="H151" s="2">
        <v>551</v>
      </c>
      <c r="I151" s="2" t="inlineStr">
        <is>
          <t>$</t>
        </is>
      </c>
      <c r="J151" s="2">
        <f>HYPERLINK("https://app.astro.lead-studio.pro/product/aae9acc6-5cbb-4697-a316-d6939b913bd9")</f>
      </c>
    </row>
    <row r="152" spans="1:10" customHeight="0">
      <c r="A152" s="2" t="inlineStr">
        <is>
          <t>Процессоры</t>
        </is>
      </c>
      <c r="B152" s="2" t="inlineStr">
        <is>
          <t>INTEL</t>
        </is>
      </c>
      <c r="C152" s="2" t="inlineStr">
        <is>
          <t>CM8071505094017 S RN48 99CFFC</t>
        </is>
      </c>
      <c r="D152" s="2" t="inlineStr">
        <is>
          <t>Процессор Intel CORE I9-14900K S1700 OEM 3.2G CM8071505094017 S RN48 IN</t>
        </is>
      </c>
      <c r="E152" s="2">
        <v>100</v>
      </c>
      <c r="F152" s="2">
        <v>100</v>
      </c>
      <c r="H152" s="2">
        <v>560</v>
      </c>
      <c r="I152" s="2" t="inlineStr">
        <is>
          <t>$</t>
        </is>
      </c>
      <c r="J152" s="2">
        <f>HYPERLINK("https://app.astro.lead-studio.pro/product/994deba0-bb53-4860-8923-8be42b175d8f")</f>
      </c>
    </row>
    <row r="153" spans="1:10" customHeight="0">
      <c r="A153" s="2" t="inlineStr">
        <is>
          <t>Процессоры</t>
        </is>
      </c>
      <c r="B153" s="2" t="inlineStr">
        <is>
          <t>INTEL</t>
        </is>
      </c>
      <c r="C153" s="2" t="inlineStr">
        <is>
          <t>CM8071505094018 S RN49 99CFFD</t>
        </is>
      </c>
      <c r="D153" s="2" t="inlineStr">
        <is>
          <t>Процессор Intel CORE I9-14900KF S1700 OEM 3.2G CM8071505094018 S RN49 IN</t>
        </is>
      </c>
      <c r="E153" s="2">
        <v>40</v>
      </c>
      <c r="F153" s="2">
        <v>40</v>
      </c>
      <c r="H153" s="2">
        <v>526</v>
      </c>
      <c r="I153" s="2" t="inlineStr">
        <is>
          <t>$</t>
        </is>
      </c>
      <c r="J153" s="2">
        <f>HYPERLINK("https://app.astro.lead-studio.pro/product/8e1ad5f8-3b09-4837-b15c-f0f665930efa")</f>
      </c>
    </row>
    <row r="154" spans="1:10" customHeight="0">
      <c r="A154" s="2" t="inlineStr">
        <is>
          <t>Процессоры</t>
        </is>
      </c>
      <c r="B154" s="2" t="inlineStr">
        <is>
          <t>INTEL</t>
        </is>
      </c>
      <c r="C154" s="2" t="inlineStr">
        <is>
          <t>AT807680640F</t>
        </is>
      </c>
      <c r="D154" s="2" t="inlineStr">
        <is>
          <t>Процессор Intel CORE U5-245K S1851 OEM AT807680640F RQCT 99CMT7 IN</t>
        </is>
      </c>
      <c r="E154" s="2">
        <v>100</v>
      </c>
      <c r="F154" s="2">
        <v>100</v>
      </c>
      <c r="H154" s="2">
        <v>381</v>
      </c>
      <c r="I154" s="2" t="inlineStr">
        <is>
          <t>$</t>
        </is>
      </c>
      <c r="J154" s="2">
        <f>HYPERLINK("https://app.astro.lead-studio.pro/product/82bc89e0-0278-4bd9-9198-01155bc2547a")</f>
      </c>
    </row>
    <row r="155" spans="1:10" customHeight="0">
      <c r="A155" s="2" t="inlineStr">
        <is>
          <t>Процессоры</t>
        </is>
      </c>
      <c r="B155" s="2" t="inlineStr">
        <is>
          <t>INTEL</t>
        </is>
      </c>
      <c r="C155" s="2" t="inlineStr">
        <is>
          <t>AT8076806412</t>
        </is>
      </c>
      <c r="D155" s="2" t="inlineStr">
        <is>
          <t>Процессор Intel CORE U7-265K S1851 OEM AT8076806412 RQCW 99CMTA IN</t>
        </is>
      </c>
      <c r="E155" s="2">
        <v>100</v>
      </c>
      <c r="F155" s="2">
        <v>100</v>
      </c>
      <c r="H155" s="2">
        <v>521</v>
      </c>
      <c r="I155" s="2" t="inlineStr">
        <is>
          <t>$</t>
        </is>
      </c>
      <c r="J155" s="2">
        <f>HYPERLINK("https://app.astro.lead-studio.pro/product/1ce53dc2-3ef7-46d4-81fe-78c77d36230b")</f>
      </c>
    </row>
    <row r="156" spans="1:10" customHeight="0">
      <c r="A156" s="2" t="inlineStr">
        <is>
          <t>Процессоры</t>
        </is>
      </c>
      <c r="B156" s="2" t="inlineStr">
        <is>
          <t>INTEL</t>
        </is>
      </c>
      <c r="C156" s="2" t="inlineStr">
        <is>
          <t>AT8076806410</t>
        </is>
      </c>
      <c r="D156" s="2" t="inlineStr">
        <is>
          <t>Процессор Intel CORE U7-265KF S1851 OEM AT8076806410 RQCU 99CMT8 IN</t>
        </is>
      </c>
      <c r="E156" s="2">
        <v>100</v>
      </c>
      <c r="F156" s="2">
        <v>100</v>
      </c>
      <c r="H156" s="2">
        <v>508</v>
      </c>
      <c r="I156" s="2" t="inlineStr">
        <is>
          <t>$</t>
        </is>
      </c>
      <c r="J156" s="2">
        <f>HYPERLINK("https://app.astro.lead-studio.pro/product/abacf3ac-6432-4c72-87c6-55c595333ad5")</f>
      </c>
    </row>
    <row r="157" spans="1:10" customHeight="0">
      <c r="A157" s="2" t="inlineStr">
        <is>
          <t>Процессоры</t>
        </is>
      </c>
      <c r="B157" s="2" t="inlineStr">
        <is>
          <t>INTEL</t>
        </is>
      </c>
      <c r="C157" s="2" t="inlineStr">
        <is>
          <t>AT8076806419</t>
        </is>
      </c>
      <c r="D157" s="2" t="inlineStr">
        <is>
          <t>Процессор Intel CORE U9-285K S1851 OEM AT8076806419 RQD5 99CMTK IN</t>
        </is>
      </c>
      <c r="E157" s="2">
        <v>40</v>
      </c>
      <c r="F157" s="2">
        <v>40</v>
      </c>
      <c r="H157" s="2">
        <v>866</v>
      </c>
      <c r="I157" s="2" t="inlineStr">
        <is>
          <t>$</t>
        </is>
      </c>
      <c r="J157" s="2">
        <f>HYPERLINK("https://app.astro.lead-studio.pro/product/3f4690bc-e7e7-4c09-b2e3-8675a6f3574d")</f>
      </c>
    </row>
    <row r="158" spans="1:10" customHeight="0">
      <c r="A158" s="2" t="inlineStr">
        <is>
          <t>Процессоры</t>
        </is>
      </c>
      <c r="B158" s="2" t="inlineStr">
        <is>
          <t>AMD</t>
        </is>
      </c>
      <c r="C158" s="2" t="inlineStr">
        <is>
          <t>100-000000662</t>
        </is>
      </c>
      <c r="D158" s="2" t="inlineStr">
        <is>
          <t>Процессор RYZEN X12 9900X SAM5 120W 4400 100-000000662 AMD</t>
        </is>
      </c>
      <c r="E158" s="2">
        <v>10</v>
      </c>
      <c r="F158" s="2">
        <v>10</v>
      </c>
      <c r="H158" s="2">
        <v>545</v>
      </c>
      <c r="I158" s="2" t="inlineStr">
        <is>
          <t>$</t>
        </is>
      </c>
      <c r="J158" s="2">
        <f>HYPERLINK("https://app.astro.lead-studio.pro/product/6631bdff-828c-41f9-bce7-447557520672")</f>
      </c>
    </row>
    <row r="159" spans="1:10" customHeight="0">
      <c r="A159" s="2" t="inlineStr">
        <is>
          <t>Процессоры</t>
        </is>
      </c>
      <c r="B159" s="2" t="inlineStr">
        <is>
          <t>AMD</t>
        </is>
      </c>
      <c r="C159" s="2" t="inlineStr">
        <is>
          <t>100-000000589</t>
        </is>
      </c>
      <c r="D159" s="2" t="inlineStr">
        <is>
          <t>Процессор RYZEN X12 R9-7900X SAM5 OEM 170W 4700 100-000000589 AMD</t>
        </is>
      </c>
      <c r="E159" s="2">
        <v>10</v>
      </c>
      <c r="F159" s="2">
        <v>10</v>
      </c>
      <c r="H159" s="2">
        <v>452</v>
      </c>
      <c r="I159" s="2" t="inlineStr">
        <is>
          <t>$</t>
        </is>
      </c>
      <c r="J159" s="2">
        <f>HYPERLINK("https://app.astro.lead-studio.pro/product/2528278c-eb79-41fa-b05d-3eca2b281136")</f>
      </c>
    </row>
    <row r="160" spans="1:10" customHeight="0">
      <c r="A160" s="2" t="inlineStr">
        <is>
          <t>Процессоры</t>
        </is>
      </c>
      <c r="B160" s="2" t="inlineStr">
        <is>
          <t>AMD</t>
        </is>
      </c>
      <c r="C160" s="2" t="inlineStr">
        <is>
          <t>100-000001277</t>
        </is>
      </c>
      <c r="D160" s="2" t="inlineStr">
        <is>
          <t>Процессор RYZEN X16 9950X SAM5 170W 4300 100-000001277 AMD</t>
        </is>
      </c>
      <c r="E160" s="2">
        <v>10</v>
      </c>
      <c r="F160" s="2">
        <v>10</v>
      </c>
      <c r="H160" s="2">
        <v>768</v>
      </c>
      <c r="I160" s="2" t="inlineStr">
        <is>
          <t>$</t>
        </is>
      </c>
      <c r="J160" s="2">
        <f>HYPERLINK("https://app.astro.lead-studio.pro/product/6454c1c6-75ef-4779-b344-e2f0d21f1cff")</f>
      </c>
    </row>
    <row r="161" spans="1:10" customHeight="0">
      <c r="A161" s="2" t="inlineStr">
        <is>
          <t>Процессоры</t>
        </is>
      </c>
      <c r="B161" s="2" t="inlineStr">
        <is>
          <t>AMD</t>
        </is>
      </c>
      <c r="C161" s="2" t="inlineStr">
        <is>
          <t>100-000000059</t>
        </is>
      </c>
      <c r="D161" s="2" t="inlineStr">
        <is>
          <t>Процессор RYZEN X16 R9-5950X AM4 OEM 105W 3400 100-000000059 AMD</t>
        </is>
      </c>
      <c r="E161" s="2">
        <v>40</v>
      </c>
      <c r="F161" s="2">
        <v>40</v>
      </c>
      <c r="H161" s="2">
        <v>439</v>
      </c>
      <c r="I161" s="2" t="inlineStr">
        <is>
          <t>$</t>
        </is>
      </c>
      <c r="J161" s="2">
        <f>HYPERLINK("https://app.astro.lead-studio.pro/product/6a181162-cf9a-4bb9-88f1-4648547fce16")</f>
      </c>
    </row>
    <row r="162" spans="1:10" customHeight="0">
      <c r="A162" s="2" t="inlineStr">
        <is>
          <t>Процессоры</t>
        </is>
      </c>
      <c r="B162" s="2" t="inlineStr">
        <is>
          <t>AMD</t>
        </is>
      </c>
      <c r="C162" s="2" t="inlineStr">
        <is>
          <t>100-000001084</t>
        </is>
      </c>
      <c r="D162" s="2" t="inlineStr">
        <is>
          <t>Процессор RYZEN X8 9800X3D SAM5 120W 4700 100-000001084 AMD</t>
        </is>
      </c>
      <c r="E162" s="2">
        <v>100</v>
      </c>
      <c r="F162" s="2">
        <v>100</v>
      </c>
      <c r="H162" s="2">
        <v>909</v>
      </c>
      <c r="I162" s="2" t="inlineStr">
        <is>
          <t>$</t>
        </is>
      </c>
      <c r="J162" s="2">
        <f>HYPERLINK("https://app.astro.lead-studio.pro/product/414aa2ee-6338-400e-8c2f-0c00ea332e98")</f>
      </c>
    </row>
    <row r="163" spans="1:10" customHeight="0">
      <c r="A163" s="2" t="inlineStr">
        <is>
          <t>Процессоры</t>
        </is>
      </c>
      <c r="B163" s="2" t="inlineStr">
        <is>
          <t>AMD</t>
        </is>
      </c>
      <c r="C163" s="2" t="inlineStr">
        <is>
          <t>100-000000910</t>
        </is>
      </c>
      <c r="D163" s="2" t="inlineStr">
        <is>
          <t>Процессор RYZEN X8 R7-7800X3D SAM5 OEM 120W 4200 100-000000910 AMD</t>
        </is>
      </c>
      <c r="E163" s="2">
        <v>100</v>
      </c>
      <c r="F163" s="2">
        <v>100</v>
      </c>
      <c r="H163" s="2">
        <v>603</v>
      </c>
      <c r="I163" s="2" t="inlineStr">
        <is>
          <t>$</t>
        </is>
      </c>
      <c r="J163" s="2">
        <f>HYPERLINK("https://app.astro.lead-studio.pro/product/62b94eb0-6cee-4aa7-bc40-9179008c1736")</f>
      </c>
    </row>
    <row r="164" spans="1:10" customHeight="0">
      <c r="A164" s="2" t="inlineStr">
        <is>
          <t>Процессоры</t>
        </is>
      </c>
      <c r="B164" s="2" t="inlineStr">
        <is>
          <t>AMD</t>
        </is>
      </c>
      <c r="C164" s="2" t="inlineStr">
        <is>
          <t>100-000000514</t>
        </is>
      </c>
      <c r="D164" s="2" t="inlineStr">
        <is>
          <t>Процессор RYZENX16 R9-7950X SAM5 OEM 170W 4500 100-000000514 AMD</t>
        </is>
      </c>
      <c r="E164" s="2">
        <v>100</v>
      </c>
      <c r="F164" s="2">
        <v>100</v>
      </c>
      <c r="H164" s="2">
        <v>600</v>
      </c>
      <c r="I164" s="2" t="inlineStr">
        <is>
          <t>$</t>
        </is>
      </c>
      <c r="J164" s="2">
        <f>HYPERLINK("https://app.astro.lead-studio.pro/product/6d7dbb51-57f7-4edc-9157-12d04b562b71")</f>
      </c>
    </row>
    <row r="165" spans="1:10" customHeight="0">
      <c r="A165" s="2" t="inlineStr">
        <is>
          <t>Аксессуары для ИБП</t>
        </is>
      </c>
      <c r="B165" s="2" t="inlineStr">
        <is>
          <t>HUAWEI</t>
        </is>
      </c>
      <c r="C165" s="2" t="inlineStr">
        <is>
          <t>24022177</t>
        </is>
      </c>
      <c r="D165" s="2" t="inlineStr">
        <is>
          <t>Аккумулятор для ИБП 48V RACK ESS-48V12-9*2AHBPVBB01 HUAWEI</t>
        </is>
      </c>
      <c r="E165" s="2" t="inlineStr">
        <is>
          <t>10</t>
        </is>
      </c>
      <c r="F165" s="2" t="inlineStr">
        <is>
          <t>10</t>
        </is>
      </c>
      <c r="H165" s="2">
        <v>491</v>
      </c>
      <c r="I165" s="2" t="inlineStr">
        <is>
          <t>$</t>
        </is>
      </c>
      <c r="J165" s="2">
        <f>HYPERLINK("https://app.astro.lead-studio.pro/product/abcd2229-0fb0-4201-9984-9dc200745e00")</f>
      </c>
    </row>
    <row r="166" spans="1:10" customHeight="0">
      <c r="A166" s="2" t="inlineStr">
        <is>
          <t>Аксессуары для ИБП</t>
        </is>
      </c>
      <c r="B166" s="2" t="inlineStr">
        <is>
          <t>FSP</t>
        </is>
      </c>
      <c r="C166" s="2" t="inlineStr">
        <is>
          <t>MPF0005600GP</t>
        </is>
      </c>
      <c r="D166" s="2" t="inlineStr">
        <is>
          <t>Аккумулятор для ИБП RT 48V18AH BB-48/18RT MPF0005600GP FSP</t>
        </is>
      </c>
      <c r="E166" s="2" t="inlineStr">
        <is>
          <t>1</t>
        </is>
      </c>
      <c r="F166" s="2" t="inlineStr">
        <is>
          <t>1</t>
        </is>
      </c>
      <c r="H166" s="2">
        <v>337</v>
      </c>
      <c r="I166" s="2" t="inlineStr">
        <is>
          <t>$</t>
        </is>
      </c>
      <c r="J166" s="2">
        <f>HYPERLINK("https://app.astro.lead-studio.pro/product/813ee1b6-adec-4fac-b316-3724fc77a966")</f>
      </c>
    </row>
    <row r="167" spans="1:10" customHeight="0">
      <c r="A167" s="2" t="inlineStr">
        <is>
          <t>Аксессуары для ИБП</t>
        </is>
      </c>
      <c r="B167" s="2" t="inlineStr">
        <is>
          <t>FSP</t>
        </is>
      </c>
      <c r="C167" s="2" t="inlineStr">
        <is>
          <t>MPF0005800GP</t>
        </is>
      </c>
      <c r="D167" s="2" t="inlineStr">
        <is>
          <t>Аккумулятор для ИБП RT 72V18AH BB-72/18RT MPF0005800GP FSP</t>
        </is>
      </c>
      <c r="E167" s="2" t="inlineStr">
        <is>
          <t>4</t>
        </is>
      </c>
      <c r="F167" s="2" t="inlineStr">
        <is>
          <t>4</t>
        </is>
      </c>
      <c r="H167" s="2">
        <v>465</v>
      </c>
      <c r="I167" s="2" t="inlineStr">
        <is>
          <t>$</t>
        </is>
      </c>
      <c r="J167" s="2">
        <f>HYPERLINK("https://app.astro.lead-studio.pro/product/4d0a81be-3df6-46c4-838b-3addb21fdeaf")</f>
      </c>
    </row>
    <row r="168" spans="1:10" customHeight="0">
      <c r="A168" s="2" t="inlineStr">
        <is>
          <t>Аксессуары для ИБП</t>
        </is>
      </c>
      <c r="B168" s="2" t="inlineStr">
        <is>
          <t>HUAWEI</t>
        </is>
      </c>
      <c r="C168" s="2" t="inlineStr">
        <is>
          <t>02355639</t>
        </is>
      </c>
      <c r="D168" s="2" t="inlineStr">
        <is>
          <t>Интерфейсная карта MODBUS 6K-20K RMS-MODBUS01A HUAWEI</t>
        </is>
      </c>
      <c r="E168" s="2" t="inlineStr">
        <is>
          <t>1</t>
        </is>
      </c>
      <c r="F168" s="2" t="inlineStr">
        <is>
          <t>1</t>
        </is>
      </c>
      <c r="H168" s="2">
        <v>344</v>
      </c>
      <c r="I168" s="2" t="inlineStr">
        <is>
          <t>$</t>
        </is>
      </c>
      <c r="J168" s="2">
        <f>HYPERLINK("https://app.astro.lead-studio.pro/product/2cd29122-adfb-4b54-8dac-00e910d30237")</f>
      </c>
    </row>
    <row r="169" spans="1:10" customHeight="0">
      <c r="A169" s="2" t="inlineStr">
        <is>
          <t>Аксессуары для ИБП</t>
        </is>
      </c>
      <c r="B169" s="2" t="inlineStr">
        <is>
          <t>HUAWEI</t>
        </is>
      </c>
      <c r="C169" s="2" t="inlineStr">
        <is>
          <t>02480125</t>
        </is>
      </c>
      <c r="D169" s="2" t="inlineStr">
        <is>
          <t>Интерфейсная карта RELAY 1K-3K RMS-RELAY01B HUAWEI</t>
        </is>
      </c>
      <c r="E169" s="2" t="inlineStr">
        <is>
          <t>1</t>
        </is>
      </c>
      <c r="F169" s="2" t="inlineStr">
        <is>
          <t>1</t>
        </is>
      </c>
      <c r="H169" s="2">
        <v>542</v>
      </c>
      <c r="I169" s="2" t="inlineStr">
        <is>
          <t>$</t>
        </is>
      </c>
      <c r="J169" s="2">
        <f>HYPERLINK("https://app.astro.lead-studio.pro/product/652d2a23-9f55-4882-991c-2234d3f85b8a")</f>
      </c>
    </row>
    <row r="170" spans="1:10" customHeight="0">
      <c r="A170" s="2" t="inlineStr">
        <is>
          <t>Аксессуары для ИБП</t>
        </is>
      </c>
      <c r="B170" s="2" t="inlineStr">
        <is>
          <t>HUAWEI</t>
        </is>
      </c>
      <c r="C170" s="2" t="inlineStr">
        <is>
          <t>02480171</t>
        </is>
      </c>
      <c r="D170" s="2" t="inlineStr">
        <is>
          <t>Интерфейсная карта RELAY 1K-3K RMS-RELAY02B HUAWEI</t>
        </is>
      </c>
      <c r="E170" s="2" t="inlineStr">
        <is>
          <t>1</t>
        </is>
      </c>
      <c r="F170" s="2" t="inlineStr">
        <is>
          <t>1</t>
        </is>
      </c>
      <c r="H170" s="2">
        <v>1122</v>
      </c>
      <c r="I170" s="2" t="inlineStr">
        <is>
          <t>$</t>
        </is>
      </c>
      <c r="J170" s="2">
        <f>HYPERLINK("https://app.astro.lead-studio.pro/product/eca53613-22b5-47a6-b874-f03a586f0dbc")</f>
      </c>
    </row>
    <row r="171" spans="1:10" customHeight="0">
      <c r="A171" s="2" t="inlineStr">
        <is>
          <t>Аксессуары для ИБП</t>
        </is>
      </c>
      <c r="B171" s="2" t="inlineStr">
        <is>
          <t>HUAWEI</t>
        </is>
      </c>
      <c r="C171" s="2" t="inlineStr">
        <is>
          <t>02355640</t>
        </is>
      </c>
      <c r="D171" s="2" t="inlineStr">
        <is>
          <t>Интерфейсная карта RELAY 6K-20K RMS-RELAY01A HUAWEI</t>
        </is>
      </c>
      <c r="E171" s="2" t="inlineStr">
        <is>
          <t>1</t>
        </is>
      </c>
      <c r="F171" s="2" t="inlineStr">
        <is>
          <t>1</t>
        </is>
      </c>
      <c r="H171" s="2">
        <v>374</v>
      </c>
      <c r="I171" s="2" t="inlineStr">
        <is>
          <t>$</t>
        </is>
      </c>
      <c r="J171" s="2">
        <f>HYPERLINK("https://app.astro.lead-studio.pro/product/97e776f4-6f19-4d8a-962b-554ba9c3a4cf")</f>
      </c>
    </row>
    <row r="172" spans="1:10" customHeight="0">
      <c r="A172" s="2" t="inlineStr">
        <is>
          <t>Внешние SSD</t>
        </is>
      </c>
      <c r="B172" s="2" t="inlineStr">
        <is>
          <t>ADATA</t>
        </is>
      </c>
      <c r="C172" s="2" t="inlineStr">
        <is>
          <t>SD810-4000G-CBK</t>
        </is>
      </c>
      <c r="D172" s="2" t="inlineStr">
        <is>
          <t>SSD внешний жесткий диск 4TB USB3.2 EXT SD810-4000G-CBK ADATA</t>
        </is>
      </c>
      <c r="E172" s="2">
        <v>10</v>
      </c>
      <c r="F172" s="2">
        <v>10</v>
      </c>
      <c r="H172" s="2">
        <v>363</v>
      </c>
      <c r="I172" s="2" t="inlineStr">
        <is>
          <t>$</t>
        </is>
      </c>
      <c r="J172" s="2">
        <f>HYPERLINK("https://app.astro.lead-studio.pro/product/feb720dc-8e7d-46a4-8584-fd4cfe787a5a")</f>
      </c>
    </row>
    <row r="173" spans="1:10" customHeight="0">
      <c r="A173" s="2" t="inlineStr">
        <is>
          <t>Внешние SSD</t>
        </is>
      </c>
      <c r="B173" s="2" t="inlineStr">
        <is>
          <t>ADATA</t>
        </is>
      </c>
      <c r="C173" s="2" t="inlineStr">
        <is>
          <t>SD810-4000G-CSG</t>
        </is>
      </c>
      <c r="D173" s="2" t="inlineStr">
        <is>
          <t>SSD внешний жесткий диск 4TB USB3.2 EXT SD810-4000G-CSG ADATA</t>
        </is>
      </c>
      <c r="E173" s="2" t="inlineStr">
        <is>
          <t>1</t>
        </is>
      </c>
      <c r="F173" s="2" t="inlineStr">
        <is>
          <t>1</t>
        </is>
      </c>
      <c r="H173" s="2">
        <v>361</v>
      </c>
      <c r="I173" s="2" t="inlineStr">
        <is>
          <t>$</t>
        </is>
      </c>
      <c r="J173" s="2">
        <f>HYPERLINK("https://app.astro.lead-studio.pro/product/c43abda6-ae8f-4243-90dd-09dfde29152d")</f>
      </c>
    </row>
    <row r="174" spans="1:10" customHeight="0">
      <c r="A174" s="2" t="inlineStr">
        <is>
          <t>Внешние жесткие диски 3.5"</t>
        </is>
      </c>
      <c r="B174" s="2" t="inlineStr">
        <is>
          <t>SEAGATE</t>
        </is>
      </c>
      <c r="C174" s="2" t="inlineStr">
        <is>
          <t>STLC12000400</t>
        </is>
      </c>
      <c r="D174" s="2" t="inlineStr">
        <is>
          <t>Внешний жесткий диск USB3 12TB EXT. BLACK STLC12000400 SEAGATE</t>
        </is>
      </c>
      <c r="E174" s="2" t="inlineStr">
        <is>
          <t>5</t>
        </is>
      </c>
      <c r="F174" s="2" t="inlineStr">
        <is>
          <t>5</t>
        </is>
      </c>
      <c r="H174" s="2">
        <v>335</v>
      </c>
      <c r="I174" s="2" t="inlineStr">
        <is>
          <t>$</t>
        </is>
      </c>
      <c r="J174" s="2">
        <f>HYPERLINK("https://app.astro.lead-studio.pro/product/eb4592a5-f8dd-4210-b32a-d5d042123585")</f>
      </c>
    </row>
    <row r="175" spans="1:10" customHeight="0">
      <c r="A175" s="2" t="inlineStr">
        <is>
          <t>Внешние жесткие диски 3.5"</t>
        </is>
      </c>
      <c r="B175" s="2" t="inlineStr">
        <is>
          <t>SEAGATE</t>
        </is>
      </c>
      <c r="C175" s="2" t="inlineStr">
        <is>
          <t>STLC14000400</t>
        </is>
      </c>
      <c r="D175" s="2" t="inlineStr">
        <is>
          <t>Внешний жесткий диск USB3 14TB EXT. BLACK STLC14000400 SEAGATE</t>
        </is>
      </c>
      <c r="E175" s="2" t="inlineStr">
        <is>
          <t>7</t>
        </is>
      </c>
      <c r="F175" s="2" t="inlineStr">
        <is>
          <t>7</t>
        </is>
      </c>
      <c r="H175" s="2">
        <v>383</v>
      </c>
      <c r="I175" s="2" t="inlineStr">
        <is>
          <t>$</t>
        </is>
      </c>
      <c r="J175" s="2">
        <f>HYPERLINK("https://app.astro.lead-studio.pro/product/f2805660-171f-4227-94de-24d058e28004")</f>
      </c>
    </row>
    <row r="176" spans="1:10" customHeight="0">
      <c r="A176" s="2" t="inlineStr">
        <is>
          <t>Внешние жесткие диски 3.5"</t>
        </is>
      </c>
      <c r="B176" s="2" t="inlineStr">
        <is>
          <t>SEAGATE</t>
        </is>
      </c>
      <c r="C176" s="2" t="inlineStr">
        <is>
          <t>STKP16000400</t>
        </is>
      </c>
      <c r="D176" s="2" t="inlineStr">
        <is>
          <t>Внешний жесткий диск USB3 16TB EXT. BLACK STKP16000400 SEAGATE</t>
        </is>
      </c>
      <c r="E176" s="2" t="inlineStr">
        <is>
          <t>1</t>
        </is>
      </c>
      <c r="F176" s="2" t="inlineStr">
        <is>
          <t>1</t>
        </is>
      </c>
      <c r="H176" s="2">
        <v>399</v>
      </c>
      <c r="I176" s="2" t="inlineStr">
        <is>
          <t>$</t>
        </is>
      </c>
      <c r="J176" s="2">
        <f>HYPERLINK("https://app.astro.lead-studio.pro/product/08c07524-19bb-449f-8db5-1105ddfa6b4f")</f>
      </c>
    </row>
    <row r="177" spans="1:10" customHeight="0">
      <c r="A177" s="2" t="inlineStr">
        <is>
          <t>Внешние жесткие диски 3.5"</t>
        </is>
      </c>
      <c r="B177" s="2" t="inlineStr">
        <is>
          <t>SEAGATE</t>
        </is>
      </c>
      <c r="C177" s="2" t="inlineStr">
        <is>
          <t>STLC16000400</t>
        </is>
      </c>
      <c r="D177" s="2" t="inlineStr">
        <is>
          <t>Внешний жесткий диск USB3 16TB EXT. BLACK STLC16000400 SEAGATE</t>
        </is>
      </c>
      <c r="E177" s="2" t="inlineStr">
        <is>
          <t>10</t>
        </is>
      </c>
      <c r="F177" s="2" t="inlineStr">
        <is>
          <t>10</t>
        </is>
      </c>
      <c r="H177" s="2">
        <v>433</v>
      </c>
      <c r="I177" s="2" t="inlineStr">
        <is>
          <t>$</t>
        </is>
      </c>
      <c r="J177" s="2">
        <f>HYPERLINK("https://app.astro.lead-studio.pro/product/51a841b0-96e9-44da-b435-7ace8994510e")</f>
      </c>
    </row>
    <row r="178" spans="1:10" customHeight="0">
      <c r="A178" s="2" t="inlineStr">
        <is>
          <t>Внешние жесткие диски 3.5"</t>
        </is>
      </c>
      <c r="B178" s="2" t="inlineStr">
        <is>
          <t>WESTERN DIGITAL</t>
        </is>
      </c>
      <c r="C178" s="2" t="inlineStr">
        <is>
          <t>WDBBGB0160HBK-EESN</t>
        </is>
      </c>
      <c r="D178" s="2" t="inlineStr">
        <is>
          <t>Внешний жесткий диск USB3 16TB EXT. WDBBGB0160HBK-EESN WDC</t>
        </is>
      </c>
      <c r="E178" s="2">
        <v>10</v>
      </c>
      <c r="F178" s="2">
        <v>10</v>
      </c>
      <c r="H178" s="2">
        <v>451</v>
      </c>
      <c r="I178" s="2" t="inlineStr">
        <is>
          <t>$</t>
        </is>
      </c>
      <c r="J178" s="2">
        <f>HYPERLINK("https://app.astro.lead-studio.pro/product/2a232c9d-f997-4621-a92f-388dfd99d415")</f>
      </c>
    </row>
    <row r="179" spans="1:10" customHeight="0">
      <c r="A179" s="2" t="inlineStr">
        <is>
          <t>Внешние жесткие диски 3.5"</t>
        </is>
      </c>
      <c r="B179" s="2" t="inlineStr">
        <is>
          <t>SEAGATE</t>
        </is>
      </c>
      <c r="C179" s="2" t="inlineStr">
        <is>
          <t>STKP18000400</t>
        </is>
      </c>
      <c r="D179" s="2" t="inlineStr">
        <is>
          <t>Внешний жесткий диск USB3 18TB EXT. BLACK STKP18000400 SEAGATE</t>
        </is>
      </c>
      <c r="E179" s="2" t="inlineStr">
        <is>
          <t>8</t>
        </is>
      </c>
      <c r="F179" s="2" t="inlineStr">
        <is>
          <t>8</t>
        </is>
      </c>
      <c r="H179" s="2">
        <v>466</v>
      </c>
      <c r="I179" s="2" t="inlineStr">
        <is>
          <t>$</t>
        </is>
      </c>
      <c r="J179" s="2">
        <f>HYPERLINK("https://app.astro.lead-studio.pro/product/0858a716-c360-4046-9c79-537bd67b89ea")</f>
      </c>
    </row>
    <row r="180" spans="1:10" customHeight="0">
      <c r="A180" s="2" t="inlineStr">
        <is>
          <t>Внешние жесткие диски 3.5"</t>
        </is>
      </c>
      <c r="B180" s="2" t="inlineStr">
        <is>
          <t>WESTERN DIGITAL</t>
        </is>
      </c>
      <c r="C180" s="2" t="inlineStr">
        <is>
          <t>WDBBGB0180HBK-EESN</t>
        </is>
      </c>
      <c r="D180" s="2" t="inlineStr">
        <is>
          <t>Внешний жесткий диск USB3 18TB EXT. WDBBGB0180HBK-EESN WDC</t>
        </is>
      </c>
      <c r="E180" s="2">
        <v>10</v>
      </c>
      <c r="F180" s="2">
        <v>10</v>
      </c>
      <c r="H180" s="2">
        <v>501</v>
      </c>
      <c r="I180" s="2" t="inlineStr">
        <is>
          <t>$</t>
        </is>
      </c>
      <c r="J180" s="2">
        <f>HYPERLINK("https://app.astro.lead-studio.pro/product/9875207a-e125-4111-9227-bf9f97d78a46")</f>
      </c>
    </row>
    <row r="181" spans="1:10" customHeight="0">
      <c r="A181" s="2" t="inlineStr">
        <is>
          <t>Защищённые ноутбуки</t>
        </is>
      </c>
      <c r="B181" s="2" t="inlineStr">
        <is>
          <t>GETAC</t>
        </is>
      </c>
      <c r="C181" s="2" t="inlineStr">
        <is>
          <t>XQ2S1FWHCD9L</t>
        </is>
      </c>
      <c r="D181" s="2" t="inlineStr">
        <is>
          <t>Ноутбук 500G3 CI7-7820EQ 8GB 512GB W10 XQ2S1FWHCD9L GETAC</t>
        </is>
      </c>
      <c r="E181" s="2" t="inlineStr">
        <is>
          <t>1</t>
        </is>
      </c>
      <c r="F181" s="2" t="inlineStr">
        <is>
          <t>1</t>
        </is>
      </c>
      <c r="H181" s="2">
        <v>11779</v>
      </c>
      <c r="I181" s="2" t="inlineStr">
        <is>
          <t>$</t>
        </is>
      </c>
      <c r="J181" s="2">
        <f>HYPERLINK("https://app.astro.lead-studio.pro/product/5528e89d-4e8a-4ac4-a959-e6fee4e8b00a")</f>
      </c>
    </row>
    <row r="182" spans="1:10" customHeight="0">
      <c r="A182" s="2" t="inlineStr">
        <is>
          <t>Защищённые ноутбуки</t>
        </is>
      </c>
      <c r="B182" s="2" t="inlineStr">
        <is>
          <t>GETAC</t>
        </is>
      </c>
      <c r="C182" s="2" t="inlineStr">
        <is>
          <t>XQ1S1FCHCDXH</t>
        </is>
      </c>
      <c r="D182" s="2" t="inlineStr">
        <is>
          <t>Ноутбук X500G3 CI5-7440EQ 15.6"8GB 512GB W10 XQ1S1FCHCDXH GETAC</t>
        </is>
      </c>
      <c r="E182" s="2" t="inlineStr">
        <is>
          <t>1</t>
        </is>
      </c>
      <c r="F182" s="2" t="inlineStr">
        <is>
          <t>1</t>
        </is>
      </c>
      <c r="H182" s="2">
        <v>7213</v>
      </c>
      <c r="I182" s="2" t="inlineStr">
        <is>
          <t>$</t>
        </is>
      </c>
      <c r="J182" s="2">
        <f>HYPERLINK("https://app.astro.lead-studio.pro/product/78c42104-8e09-458c-846e-fd68a75185ea")</f>
      </c>
    </row>
    <row r="183" spans="1:10" customHeight="0">
      <c r="A183" s="2" t="inlineStr">
        <is>
          <t>Защищённые ноутбуки</t>
        </is>
      </c>
      <c r="B183" s="2" t="inlineStr">
        <is>
          <t>GETAC</t>
        </is>
      </c>
      <c r="C183" s="2" t="inlineStr">
        <is>
          <t>XQ2S1FCHCD2Y</t>
        </is>
      </c>
      <c r="D183" s="2" t="inlineStr">
        <is>
          <t>Ноутбук X500G3 I7-7820EQ 15.6" 8/512GB XQ2S1FCHCD2Y GETAC</t>
        </is>
      </c>
      <c r="E183" s="2" t="inlineStr">
        <is>
          <t>2</t>
        </is>
      </c>
      <c r="F183" s="2" t="inlineStr">
        <is>
          <t>2</t>
        </is>
      </c>
      <c r="H183" s="2">
        <v>7404</v>
      </c>
      <c r="I183" s="2" t="inlineStr">
        <is>
          <t>$</t>
        </is>
      </c>
      <c r="J183" s="2">
        <f>HYPERLINK("https://app.astro.lead-studio.pro/product/6b458391-71c5-4f9f-9357-8b4698c12260")</f>
      </c>
    </row>
    <row r="184" spans="1:10" customHeight="0">
      <c r="A184" s="2" t="inlineStr">
        <is>
          <t>Лазерные принтеры</t>
        </is>
      </c>
      <c r="B184" s="2" t="inlineStr">
        <is>
          <t>CANON</t>
        </is>
      </c>
      <c r="C184" s="2" t="inlineStr">
        <is>
          <t>4929C006</t>
        </is>
      </c>
      <c r="D184" s="2" t="inlineStr">
        <is>
          <t>Принтер лазерный Canon i-SENSYS LBP722Cdw (4929C006) A4 WiFi белый</t>
        </is>
      </c>
      <c r="E184" s="2" t="inlineStr">
        <is>
          <t>3</t>
        </is>
      </c>
      <c r="F184" s="2" t="inlineStr">
        <is>
          <t>3</t>
        </is>
      </c>
      <c r="H184" s="2">
        <v>601</v>
      </c>
      <c r="I184" s="2" t="inlineStr">
        <is>
          <t>$</t>
        </is>
      </c>
      <c r="J184" s="2">
        <f>HYPERLINK("https://app.astro.lead-studio.pro/product/2e9e66a9-52f4-4fea-b363-72863e99429a")</f>
      </c>
    </row>
    <row r="185" spans="1:10" customHeight="0">
      <c r="A185" s="2" t="inlineStr">
        <is>
          <t>Лазерные принтеры</t>
        </is>
      </c>
      <c r="B185" s="2" t="inlineStr">
        <is>
          <t>HP</t>
        </is>
      </c>
      <c r="C185" s="2" t="inlineStr">
        <is>
          <t>CE712A</t>
        </is>
      </c>
      <c r="D185" s="2" t="inlineStr">
        <is>
          <t>Принтер лазерный HP Color LaserJet Pro CP5225DN (CE712A) A3 Duplex Net черный</t>
        </is>
      </c>
      <c r="E185" s="2" t="inlineStr">
        <is>
          <t>1</t>
        </is>
      </c>
      <c r="F185" s="2" t="inlineStr">
        <is>
          <t>1</t>
        </is>
      </c>
      <c r="H185" s="2">
        <v>1372</v>
      </c>
      <c r="I185" s="2" t="inlineStr">
        <is>
          <t>$</t>
        </is>
      </c>
      <c r="J185" s="2">
        <f>HYPERLINK("https://app.astro.lead-studio.pro/product/a4cc6277-1466-4287-8b2a-746c89b52234")</f>
      </c>
    </row>
    <row r="186" spans="1:10" customHeight="0">
      <c r="A186" s="2" t="inlineStr">
        <is>
          <t>Лазерные принтеры</t>
        </is>
      </c>
      <c r="B186" s="2" t="inlineStr">
        <is>
          <t>HP</t>
        </is>
      </c>
      <c r="C186" s="2" t="inlineStr">
        <is>
          <t>3PZ15A</t>
        </is>
      </c>
      <c r="D186" s="2" t="inlineStr">
        <is>
          <t>Принтер лазерный HP LaserJet Enterprise M406dn (3PZ15A) A4 Duplex Net белый</t>
        </is>
      </c>
      <c r="E186" s="2">
        <v>40</v>
      </c>
      <c r="F186" s="2">
        <v>40</v>
      </c>
      <c r="H186" s="2">
        <v>338</v>
      </c>
      <c r="I186" s="2" t="inlineStr">
        <is>
          <t>$</t>
        </is>
      </c>
      <c r="J186" s="2">
        <f>HYPERLINK("https://app.astro.lead-studio.pro/product/6d269ddd-ad59-40bf-8077-bd9237a0ad47")</f>
      </c>
    </row>
    <row r="187" spans="1:10" customHeight="0">
      <c r="A187" s="2" t="inlineStr">
        <is>
          <t>Лазерные принтеры</t>
        </is>
      </c>
      <c r="B187" s="2" t="inlineStr">
        <is>
          <t>HP</t>
        </is>
      </c>
      <c r="C187" s="2" t="inlineStr">
        <is>
          <t>J8H61A</t>
        </is>
      </c>
      <c r="D187" s="2" t="inlineStr">
        <is>
          <t>Принтер лазерный HP LaserJet Pro M501dn (J8H61A) A4 Duplex белый</t>
        </is>
      </c>
      <c r="E187" s="2" t="inlineStr">
        <is>
          <t>5</t>
        </is>
      </c>
      <c r="F187" s="2" t="inlineStr">
        <is>
          <t>5</t>
        </is>
      </c>
      <c r="H187" s="2">
        <v>426</v>
      </c>
      <c r="I187" s="2" t="inlineStr">
        <is>
          <t>$</t>
        </is>
      </c>
      <c r="J187" s="2">
        <f>HYPERLINK("https://app.astro.lead-studio.pro/product/11e3e138-30d5-42c0-9d6c-80abefac4f84")</f>
      </c>
    </row>
    <row r="188" spans="1:10" customHeight="0">
      <c r="A188" s="2" t="inlineStr">
        <is>
          <t>Мониторы LCD</t>
        </is>
      </c>
      <c r="B188" s="2" t="inlineStr">
        <is>
          <t>HUAWEI</t>
        </is>
      </c>
      <c r="C188" s="2" t="inlineStr">
        <is>
          <t>53061124</t>
        </is>
      </c>
      <c r="D188" s="2" t="inlineStr">
        <is>
          <t>ЖК монитор HUAWEI/34" Cенсорный экран нет/VA/3440x1440 21:9/350/4000:1 Matte/4 мс Устройство чтения</t>
        </is>
      </c>
      <c r="E188" s="2">
        <v>40</v>
      </c>
      <c r="F188" s="2">
        <v>40</v>
      </c>
      <c r="H188" s="2">
        <v>506</v>
      </c>
      <c r="I188" s="2" t="inlineStr">
        <is>
          <t>$</t>
        </is>
      </c>
      <c r="J188" s="2">
        <f>HYPERLINK("https://app.astro.lead-studio.pro/product/775700f8-aba4-453c-bce2-cf30e5f2b68c")</f>
      </c>
    </row>
    <row r="189" spans="1:10" customHeight="0">
      <c r="A189" s="2" t="inlineStr">
        <is>
          <t>Мониторы LCD</t>
        </is>
      </c>
      <c r="B189" s="2" t="inlineStr">
        <is>
          <t>HUAWEI</t>
        </is>
      </c>
      <c r="C189" s="2" t="inlineStr">
        <is>
          <t>53061123</t>
        </is>
      </c>
      <c r="D189" s="2" t="inlineStr">
        <is>
          <t>ЖК монитор HUAWEI/34" Cенсорный экран нет/VA/3440x1440 21:9/350/4000:1 Matte/4 мс/да/черный/9.5 кг 5</t>
        </is>
      </c>
      <c r="E189" s="2" t="inlineStr">
        <is>
          <t>1</t>
        </is>
      </c>
      <c r="F189" s="2" t="inlineStr">
        <is>
          <t>1</t>
        </is>
      </c>
      <c r="H189" s="2">
        <v>438</v>
      </c>
      <c r="I189" s="2" t="inlineStr">
        <is>
          <t>$</t>
        </is>
      </c>
      <c r="J189" s="2">
        <f>HYPERLINK("https://app.astro.lead-studio.pro/product/f3ac088d-01cc-4289-80f8-557d9a59cce8")</f>
      </c>
    </row>
    <row r="190" spans="1:10" customHeight="0">
      <c r="A190" s="2" t="inlineStr">
        <is>
          <t>Мониторы LCD</t>
        </is>
      </c>
      <c r="B190" s="2" t="inlineStr">
        <is>
          <t>HISENSE</t>
        </is>
      </c>
      <c r="C190" s="2" t="inlineStr">
        <is>
          <t>27G7H</t>
        </is>
      </c>
      <c r="D190" s="2" t="inlineStr">
        <is>
          <t>МОНИТОР 27" 27G7H HISENSE</t>
        </is>
      </c>
      <c r="E190" s="2">
        <v>10</v>
      </c>
      <c r="F190" s="2">
        <v>10</v>
      </c>
      <c r="H190" s="2">
        <v>435</v>
      </c>
      <c r="I190" s="2" t="inlineStr">
        <is>
          <t>$</t>
        </is>
      </c>
      <c r="J190" s="2">
        <f>HYPERLINK("https://app.astro.lead-studio.pro/product/e9ca2779-ee6c-41bb-9475-24181b204c36")</f>
      </c>
    </row>
    <row r="191" spans="1:10" customHeight="0">
      <c r="A191" s="2" t="inlineStr">
        <is>
          <t>Мониторы LCD</t>
        </is>
      </c>
      <c r="B191" s="2" t="inlineStr">
        <is>
          <t>ACER</t>
        </is>
      </c>
      <c r="C191" s="2" t="inlineStr">
        <is>
          <t>UM.HB3CD.E01</t>
        </is>
      </c>
      <c r="D191" s="2" t="inlineStr">
        <is>
          <t>Монитор Acer CB273UEbemipruzx 27'', 16:9, IPS, QHD, 350cd, 100Hz, HDMI, DP, USB-C, USB, LAN, HAS</t>
        </is>
      </c>
      <c r="E191" s="2">
        <v>100</v>
      </c>
      <c r="F191" s="2">
        <v>100</v>
      </c>
      <c r="H191" s="2">
        <v>387</v>
      </c>
      <c r="I191" s="2" t="inlineStr">
        <is>
          <t>$</t>
        </is>
      </c>
      <c r="J191" s="2">
        <f>HYPERLINK("https://app.astro.lead-studio.pro/product/76bac46c-4bad-45e6-b54c-26903ce84c36")</f>
      </c>
    </row>
    <row r="192" spans="1:10" customHeight="0">
      <c r="A192" s="2" t="inlineStr">
        <is>
          <t>Мониторы LCD</t>
        </is>
      </c>
      <c r="B192" s="2" t="inlineStr">
        <is>
          <t>ACER</t>
        </is>
      </c>
      <c r="C192" s="2" t="inlineStr">
        <is>
          <t>UM.JB2CD.A01</t>
        </is>
      </c>
      <c r="D192" s="2" t="inlineStr">
        <is>
          <t>Монитор Acer CB322QKAbmiiprx 31,5'', 16:9, IPS, UHD, 4ms, 350cd, 60Hz, HDMI, DP, SPK, HAS</t>
        </is>
      </c>
      <c r="E192" s="2">
        <v>10</v>
      </c>
      <c r="F192" s="2">
        <v>10</v>
      </c>
      <c r="H192" s="2">
        <v>474</v>
      </c>
      <c r="I192" s="2" t="inlineStr">
        <is>
          <t>$</t>
        </is>
      </c>
      <c r="J192" s="2">
        <f>HYPERLINK("https://app.astro.lead-studio.pro/product/2b96cb1e-262f-46d3-9b17-706f4abd6dab")</f>
      </c>
    </row>
    <row r="193" spans="1:10" customHeight="0">
      <c r="A193" s="2" t="inlineStr">
        <is>
          <t>Мониторы LCD</t>
        </is>
      </c>
      <c r="B193" s="2" t="inlineStr">
        <is>
          <t>ACER</t>
        </is>
      </c>
      <c r="C193" s="2" t="inlineStr">
        <is>
          <t>UM.JB2CD.002</t>
        </is>
      </c>
      <c r="D193" s="2" t="inlineStr">
        <is>
          <t>Монитор Acer CB322QKsemipruzx 31,5'', 16:9, IPS, UHD, 350cd, 60Hz, HDMI, DP, USB-C, USB, LAN, HAS</t>
        </is>
      </c>
      <c r="E193" s="2">
        <v>40</v>
      </c>
      <c r="F193" s="2">
        <v>40</v>
      </c>
      <c r="H193" s="2">
        <v>595</v>
      </c>
      <c r="I193" s="2" t="inlineStr">
        <is>
          <t>$</t>
        </is>
      </c>
      <c r="J193" s="2">
        <f>HYPERLINK("https://app.astro.lead-studio.pro/product/dc5e8695-fc9f-4a20-a942-ad0eba2b507d")</f>
      </c>
    </row>
    <row r="194" spans="1:10" customHeight="0">
      <c r="A194" s="2" t="inlineStr">
        <is>
          <t>Мониторы LCD</t>
        </is>
      </c>
      <c r="B194" s="2" t="inlineStr">
        <is>
          <t>ACER</t>
        </is>
      </c>
      <c r="C194" s="2" t="inlineStr">
        <is>
          <t>UM.CB2CD.002</t>
        </is>
      </c>
      <c r="D194" s="2" t="inlineStr">
        <is>
          <t>Монитор Acer CB342CKsmiiphzx 34'', 21:9, IPS, UHD, 1/4ms, 250cd, 75Hz, HDMI, DP, USB, SPK, HAS</t>
        </is>
      </c>
      <c r="E194" s="2">
        <v>40</v>
      </c>
      <c r="F194" s="2">
        <v>40</v>
      </c>
      <c r="H194" s="2">
        <v>408</v>
      </c>
      <c r="I194" s="2" t="inlineStr">
        <is>
          <t>$</t>
        </is>
      </c>
      <c r="J194" s="2">
        <f>HYPERLINK("https://app.astro.lead-studio.pro/product/bda14350-ef07-40c3-b628-6932cd429eb7")</f>
      </c>
    </row>
    <row r="195" spans="1:10" customHeight="0">
      <c r="A195" s="2" t="inlineStr">
        <is>
          <t>Мониторы LCD</t>
        </is>
      </c>
      <c r="B195" s="2" t="inlineStr">
        <is>
          <t>ACER</t>
        </is>
      </c>
      <c r="C195" s="2" t="inlineStr">
        <is>
          <t>UM.CB2CD.001</t>
        </is>
      </c>
      <c r="D195" s="2" t="inlineStr">
        <is>
          <t>Монитор Acer CB342CUsemiphuzx 34'', 21:9, IPS, UHD, 75Hz, VGA, HDMI, DP, USB-C, USB, LAN, SPK, HAS</t>
        </is>
      </c>
      <c r="E195" s="2">
        <v>40</v>
      </c>
      <c r="F195" s="2">
        <v>40</v>
      </c>
      <c r="H195" s="2">
        <v>495</v>
      </c>
      <c r="I195" s="2" t="inlineStr">
        <is>
          <t>$</t>
        </is>
      </c>
      <c r="J195" s="2">
        <f>HYPERLINK("https://app.astro.lead-studio.pro/product/fb8ce827-f56e-4153-ad0d-86a243c8b8ea")</f>
      </c>
    </row>
    <row r="196" spans="1:10" customHeight="0">
      <c r="A196" s="2" t="inlineStr">
        <is>
          <t>Мониторы LCD</t>
        </is>
      </c>
      <c r="B196" s="2" t="inlineStr">
        <is>
          <t>ACER</t>
        </is>
      </c>
      <c r="C196" s="2" t="inlineStr">
        <is>
          <t>UM.CC2EE.H01</t>
        </is>
      </c>
      <c r="D196" s="2" t="inlineStr">
        <is>
          <t>Монитор Acer CZ342CURHbmiphuzx bla-bla</t>
        </is>
      </c>
      <c r="E196" s="2">
        <v>10</v>
      </c>
      <c r="F196" s="2">
        <v>10</v>
      </c>
      <c r="H196" s="2">
        <v>335</v>
      </c>
      <c r="I196" s="2" t="inlineStr">
        <is>
          <t>$</t>
        </is>
      </c>
      <c r="J196" s="2">
        <f>HYPERLINK("https://app.astro.lead-studio.pro/product/e67fb20e-7bcc-4182-9dd8-490d65d7ba0a")</f>
      </c>
    </row>
    <row r="197" spans="1:10" customHeight="0">
      <c r="A197" s="2" t="inlineStr">
        <is>
          <t>Мониторы LCD</t>
        </is>
      </c>
      <c r="B197" s="2" t="inlineStr">
        <is>
          <t>ACER</t>
        </is>
      </c>
      <c r="C197" s="2" t="inlineStr">
        <is>
          <t>UM.CC2CD.V01</t>
        </is>
      </c>
      <c r="D197" s="2" t="inlineStr">
        <is>
          <t>Монитор Acer CZ342CURVbmiphuzx 34 1000R, 21:9, VA, UHD, 300cd, 180Hz, HDMI, DP, USB-C, USB, SPK, HAS</t>
        </is>
      </c>
      <c r="E197" s="2">
        <v>10</v>
      </c>
      <c r="F197" s="2">
        <v>10</v>
      </c>
      <c r="H197" s="2">
        <v>508</v>
      </c>
      <c r="I197" s="2" t="inlineStr">
        <is>
          <t>$</t>
        </is>
      </c>
      <c r="J197" s="2">
        <f>HYPERLINK("https://app.astro.lead-studio.pro/product/91cc404b-6b5a-4546-b260-bc72e909ef10")</f>
      </c>
    </row>
    <row r="198" spans="1:10" customHeight="0">
      <c r="A198" s="2" t="inlineStr">
        <is>
          <t>Мониторы LCD</t>
        </is>
      </c>
      <c r="B198" s="2" t="inlineStr">
        <is>
          <t>ACER</t>
        </is>
      </c>
      <c r="C198" s="2" t="inlineStr">
        <is>
          <t>UM.SE1CD.S01</t>
        </is>
      </c>
      <c r="D198" s="2" t="inlineStr">
        <is>
          <t>Монитор Acer EI491CRSbmiipphx 49'' 1800R Black, 32:9, VA, UHD, 4ms, 400cd, 144Hz, HDMI, DP, SPK, HAS</t>
        </is>
      </c>
      <c r="E198" s="2">
        <v>10</v>
      </c>
      <c r="F198" s="2">
        <v>10</v>
      </c>
      <c r="H198" s="2">
        <v>984</v>
      </c>
      <c r="I198" s="2" t="inlineStr">
        <is>
          <t>$</t>
        </is>
      </c>
      <c r="J198" s="2">
        <f>HYPERLINK("https://app.astro.lead-studio.pro/product/5845bb04-6ed4-4f88-8b21-aa21dd9039dd")</f>
      </c>
    </row>
    <row r="199" spans="1:10" customHeight="0">
      <c r="A199" s="2" t="inlineStr">
        <is>
          <t>Мониторы LCD</t>
        </is>
      </c>
      <c r="B199" s="2" t="inlineStr">
        <is>
          <t>ACER</t>
        </is>
      </c>
      <c r="C199" s="2" t="inlineStr">
        <is>
          <t>UM.HX1CD.Z01</t>
        </is>
      </c>
      <c r="D199" s="2" t="inlineStr">
        <is>
          <t>Монитор Acer XV271Zbmiiprx 27'', 16:9, IPS, FHD, 0,5/1ms, 400cd, 280Hz, HDMI, DP, SPK, HAS</t>
        </is>
      </c>
      <c r="E199" s="2">
        <v>40</v>
      </c>
      <c r="F199" s="2">
        <v>40</v>
      </c>
      <c r="H199" s="2">
        <v>361</v>
      </c>
      <c r="I199" s="2" t="inlineStr">
        <is>
          <t>$</t>
        </is>
      </c>
      <c r="J199" s="2">
        <f>HYPERLINK("https://app.astro.lead-studio.pro/product/06245f42-9852-4001-b6e5-c0321a1297da")</f>
      </c>
    </row>
    <row r="200" spans="1:10" customHeight="0">
      <c r="A200" s="2" t="inlineStr">
        <is>
          <t>Мониторы LCD</t>
        </is>
      </c>
      <c r="B200" s="2" t="inlineStr">
        <is>
          <t>ACER</t>
        </is>
      </c>
      <c r="C200" s="2" t="inlineStr">
        <is>
          <t>UM.HX5EE.V05</t>
        </is>
      </c>
      <c r="D200" s="2" t="inlineStr">
        <is>
          <t>Монитор Acer XV275KVymipruzx 27'', 16:9, IPS, UHD, 400cd, 160Hz, HDMI, DP, USB-C, USB, SPK, HAS</t>
        </is>
      </c>
      <c r="E200" s="2">
        <v>40</v>
      </c>
      <c r="F200" s="2">
        <v>40</v>
      </c>
      <c r="H200" s="2">
        <v>473</v>
      </c>
      <c r="I200" s="2" t="inlineStr">
        <is>
          <t>$</t>
        </is>
      </c>
      <c r="J200" s="2">
        <f>HYPERLINK("https://app.astro.lead-studio.pro/product/b1f0e301-35d8-4605-82be-3c7ae80ed0ea")</f>
      </c>
    </row>
    <row r="201" spans="1:10" customHeight="0">
      <c r="A201" s="2" t="inlineStr">
        <is>
          <t>Мониторы LCD</t>
        </is>
      </c>
      <c r="B201" s="2" t="inlineStr">
        <is>
          <t>ACER</t>
        </is>
      </c>
      <c r="C201" s="2" t="inlineStr">
        <is>
          <t>UM.HX5CD.001</t>
        </is>
      </c>
      <c r="D201" s="2" t="inlineStr">
        <is>
          <t>Монитор Acer XV275Kymipruzx 27'', 16:9, IPS, UHD, 1ms, 400cd, 60Hz, HDMI, DP, USB-C, USB, SPK, HAS</t>
        </is>
      </c>
      <c r="E201" s="2">
        <v>40</v>
      </c>
      <c r="F201" s="2">
        <v>40</v>
      </c>
      <c r="H201" s="2">
        <v>394</v>
      </c>
      <c r="I201" s="2" t="inlineStr">
        <is>
          <t>$</t>
        </is>
      </c>
      <c r="J201" s="2">
        <f>HYPERLINK("https://app.astro.lead-studio.pro/product/e03bd280-2ce2-4041-95ac-174bcbdfd6e4")</f>
      </c>
    </row>
    <row r="202" spans="1:10" customHeight="0">
      <c r="A202" s="2" t="inlineStr">
        <is>
          <t>Мониторы LCD</t>
        </is>
      </c>
      <c r="B202" s="2" t="inlineStr">
        <is>
          <t>ACER</t>
        </is>
      </c>
      <c r="C202" s="2" t="inlineStr">
        <is>
          <t>UM.HX5CD.301</t>
        </is>
      </c>
      <c r="D202" s="2" t="inlineStr">
        <is>
          <t>Монитор Acer XV275UV3ymiprux 27, 16:9, IPS, 3840x2160, 1ms, 400cd, 180Hz, HDMI, DP, USB-C, USB, HAS</t>
        </is>
      </c>
      <c r="E202" s="2">
        <v>40</v>
      </c>
      <c r="F202" s="2">
        <v>40</v>
      </c>
      <c r="H202" s="2">
        <v>412</v>
      </c>
      <c r="I202" s="2" t="inlineStr">
        <is>
          <t>$</t>
        </is>
      </c>
      <c r="J202" s="2">
        <f>HYPERLINK("https://app.astro.lead-studio.pro/product/ee2bfd12-1a2c-4313-865b-10e5c5c0a457")</f>
      </c>
    </row>
    <row r="203" spans="1:10" customHeight="0">
      <c r="A203" s="2" t="inlineStr">
        <is>
          <t>Мониторы LCD</t>
        </is>
      </c>
      <c r="B203" s="2" t="inlineStr">
        <is>
          <t>ACER</t>
        </is>
      </c>
      <c r="C203" s="2" t="inlineStr">
        <is>
          <t>UM.CX5EE.301</t>
        </is>
      </c>
      <c r="D203" s="2" t="inlineStr">
        <is>
          <t>Монитор Acer XV345CURV3bmiphuzx 34'' 1000R, 21:9, VA, UHD, 300cd, 180Hz, HDMI, DP, USB-C, USB, HAS</t>
        </is>
      </c>
      <c r="E203" s="2">
        <v>10</v>
      </c>
      <c r="F203" s="2">
        <v>10</v>
      </c>
      <c r="H203" s="2">
        <v>411</v>
      </c>
      <c r="I203" s="2" t="inlineStr">
        <is>
          <t>$</t>
        </is>
      </c>
      <c r="J203" s="2">
        <f>HYPERLINK("https://app.astro.lead-studio.pro/product/3acf0a3f-a2fc-4072-a47d-37ab63f749c4")</f>
      </c>
    </row>
    <row r="204" spans="1:10" customHeight="0">
      <c r="A204" s="2" t="inlineStr">
        <is>
          <t>Мониторы LCD</t>
        </is>
      </c>
      <c r="B204" s="2" t="inlineStr">
        <is>
          <t>ACER</t>
        </is>
      </c>
      <c r="C204" s="2" t="inlineStr">
        <is>
          <t>UM.MX1CD.P01</t>
        </is>
      </c>
      <c r="D204" s="2" t="inlineStr">
        <is>
          <t>Монитор Acer XV431CPwmiiphx 43,8'', 32:9, IPS, UHD, 1ms, 400cd, 120Hz, HDMI, DP, SPK, HAS</t>
        </is>
      </c>
      <c r="E204" s="2">
        <v>10</v>
      </c>
      <c r="F204" s="2">
        <v>10</v>
      </c>
      <c r="H204" s="2">
        <v>697</v>
      </c>
      <c r="I204" s="2" t="inlineStr">
        <is>
          <t>$</t>
        </is>
      </c>
      <c r="J204" s="2">
        <f>HYPERLINK("https://app.astro.lead-studio.pro/product/2f2f5f14-cfbf-4465-913d-7a0bb1ad3d56")</f>
      </c>
    </row>
    <row r="205" spans="1:10" customHeight="0">
      <c r="A205" s="2" t="inlineStr">
        <is>
          <t>Мониторы LCD</t>
        </is>
      </c>
      <c r="B205" s="2" t="inlineStr">
        <is>
          <t>ACER</t>
        </is>
      </c>
      <c r="C205" s="2" t="inlineStr">
        <is>
          <t>UM.CX2CD.301</t>
        </is>
      </c>
      <c r="D205" s="2" t="inlineStr">
        <is>
          <t>Монитор Acer XZ342CUS3bmiipphx 34'' 1500R, 21:9, VA, UHD, 1/3ms, 400cd, 180Hz, HDMI, DP, SPK, HAS</t>
        </is>
      </c>
      <c r="E205" s="2">
        <v>40</v>
      </c>
      <c r="F205" s="2">
        <v>40</v>
      </c>
      <c r="H205" s="2">
        <v>448</v>
      </c>
      <c r="I205" s="2" t="inlineStr">
        <is>
          <t>$</t>
        </is>
      </c>
      <c r="J205" s="2">
        <f>HYPERLINK("https://app.astro.lead-studio.pro/product/af03bcd3-7239-46d0-8d46-f5ea871a5017")</f>
      </c>
    </row>
    <row r="206" spans="1:10" customHeight="0">
      <c r="A206" s="2" t="inlineStr">
        <is>
          <t>Мониторы LCD</t>
        </is>
      </c>
      <c r="B206" s="2" t="inlineStr">
        <is>
          <t>ACER</t>
        </is>
      </c>
      <c r="C206" s="2" t="inlineStr">
        <is>
          <t>UM.CX2CD.302</t>
        </is>
      </c>
      <c r="D206" s="2" t="inlineStr">
        <is>
          <t>Монитор Acer XZ342CUV3bmiiphx 34'', 1500R, 21:9, VA, UHD, 1/4ms, 400cd, 180Hz, HDMI, DP, SPK, HAS</t>
        </is>
      </c>
      <c r="E206" s="2">
        <v>40</v>
      </c>
      <c r="F206" s="2">
        <v>40</v>
      </c>
      <c r="H206" s="2">
        <v>410</v>
      </c>
      <c r="I206" s="2" t="inlineStr">
        <is>
          <t>$</t>
        </is>
      </c>
      <c r="J206" s="2">
        <f>HYPERLINK("https://app.astro.lead-studio.pro/product/3cd5804c-d580-4855-9298-f051223fc182")</f>
      </c>
    </row>
    <row r="207" spans="1:10" customHeight="0">
      <c r="A207" s="2" t="inlineStr">
        <is>
          <t>Мониторы LCD</t>
        </is>
      </c>
      <c r="B207" s="2" t="inlineStr">
        <is>
          <t>ACER</t>
        </is>
      </c>
      <c r="C207" s="2" t="inlineStr">
        <is>
          <t>UM.TX6CD.P01</t>
        </is>
      </c>
      <c r="D207" s="2" t="inlineStr">
        <is>
          <t>Монитор Acer XZ396QUPwmiipphx 38,5'' 3000R, 16:9, VA, QHD, 1ms, 400cd, 170Hz, HDMI, DP, SPK, HAS</t>
        </is>
      </c>
      <c r="E207" s="2">
        <v>40</v>
      </c>
      <c r="F207" s="2">
        <v>40</v>
      </c>
      <c r="H207" s="2">
        <v>722</v>
      </c>
      <c r="I207" s="2" t="inlineStr">
        <is>
          <t>$</t>
        </is>
      </c>
      <c r="J207" s="2">
        <f>HYPERLINK("https://app.astro.lead-studio.pro/product/d47376c0-01b9-4eed-b6c4-6b048cfbba41")</f>
      </c>
    </row>
    <row r="208" spans="1:10" customHeight="0">
      <c r="A208" s="2" t="inlineStr">
        <is>
          <t>Мониторы LCD</t>
        </is>
      </c>
      <c r="B208" s="2" t="inlineStr">
        <is>
          <t>ACER</t>
        </is>
      </c>
      <c r="C208" s="2" t="inlineStr">
        <is>
          <t>UM.MX2CD.V01</t>
        </is>
      </c>
      <c r="D208" s="2" t="inlineStr">
        <is>
          <t>Монитор Acer XZ452CUVbemiiphuzx 44,5 1500R, 32:9, VA, 5k, 450cd, 165Hz, HDMI, DP, USB-C,USB,LAN,HAS</t>
        </is>
      </c>
      <c r="E208" s="2">
        <v>10</v>
      </c>
      <c r="F208" s="2">
        <v>10</v>
      </c>
      <c r="H208" s="2">
        <v>1093</v>
      </c>
      <c r="I208" s="2" t="inlineStr">
        <is>
          <t>$</t>
        </is>
      </c>
      <c r="J208" s="2">
        <f>HYPERLINK("https://app.astro.lead-studio.pro/product/6fa84a78-e7f7-4abd-aa34-16c568a1d0a2")</f>
      </c>
    </row>
    <row r="209" spans="1:10" customHeight="0">
      <c r="A209" s="2" t="inlineStr">
        <is>
          <t>Мониторы LCD</t>
        </is>
      </c>
      <c r="B209" s="2" t="inlineStr">
        <is>
          <t>AOC</t>
        </is>
      </c>
      <c r="C209" s="2" t="inlineStr">
        <is>
          <t>CU34G2X</t>
        </is>
      </c>
      <c r="D209" s="2" t="inlineStr">
        <is>
          <t>Монитор AOC 34" CU34G2X 1500R, 21:9, VA, UHD, 4ms, 300cd, 144Hz, HDMI, DP, USB, HAS</t>
        </is>
      </c>
      <c r="E209" s="2">
        <v>10</v>
      </c>
      <c r="F209" s="2">
        <v>10</v>
      </c>
      <c r="H209" s="2">
        <v>337</v>
      </c>
      <c r="I209" s="2" t="inlineStr">
        <is>
          <t>$</t>
        </is>
      </c>
      <c r="J209" s="2">
        <f>HYPERLINK("https://app.astro.lead-studio.pro/product/855f8d51-3abd-4f9b-97ab-ad3dc6a8f810")</f>
      </c>
    </row>
    <row r="210" spans="1:10" customHeight="0">
      <c r="A210" s="2" t="inlineStr">
        <is>
          <t>Мониторы LCD</t>
        </is>
      </c>
      <c r="B210" s="2" t="inlineStr">
        <is>
          <t>DELL</t>
        </is>
      </c>
      <c r="C210" s="2" t="inlineStr">
        <is>
          <t>P2723D</t>
        </is>
      </c>
      <c r="D210" s="2" t="inlineStr">
        <is>
          <t>Монитор Dell 27" P2723D 27", 16:9, IPS, QHD, 5ms, 60Hz, 350cd, HDMI, DP, USB, HAS</t>
        </is>
      </c>
      <c r="E210" s="2">
        <v>100</v>
      </c>
      <c r="F210" s="2">
        <v>100</v>
      </c>
      <c r="H210" s="2">
        <v>397</v>
      </c>
      <c r="I210" s="2" t="inlineStr">
        <is>
          <t>$</t>
        </is>
      </c>
      <c r="J210" s="2">
        <f>HYPERLINK("https://app.astro.lead-studio.pro/product/47d2e4f6-e1a2-4089-bcc8-0e962947cca9")</f>
      </c>
    </row>
    <row r="211" spans="1:10" customHeight="0">
      <c r="A211" s="2" t="inlineStr">
        <is>
          <t>Мониторы LCD</t>
        </is>
      </c>
      <c r="B211" s="2" t="inlineStr">
        <is>
          <t>DELL</t>
        </is>
      </c>
      <c r="C211" s="2" t="inlineStr">
        <is>
          <t>P2723DE</t>
        </is>
      </c>
      <c r="D211" s="2" t="inlineStr">
        <is>
          <t>Монитор Dell 27" P2723DE 27'', 16:9, IPS, QHD, 5ms, 60Hz, 350cd, HDMI, DP, USB, USB-C, LAN, HAS</t>
        </is>
      </c>
      <c r="E211" s="2">
        <v>100</v>
      </c>
      <c r="F211" s="2">
        <v>100</v>
      </c>
      <c r="H211" s="2">
        <v>435</v>
      </c>
      <c r="I211" s="2" t="inlineStr">
        <is>
          <t>$</t>
        </is>
      </c>
      <c r="J211" s="2">
        <f>HYPERLINK("https://app.astro.lead-studio.pro/product/00e6113e-1751-468c-a7e0-5933209fa5ea")</f>
      </c>
    </row>
    <row r="212" spans="1:10" customHeight="0">
      <c r="A212" s="2" t="inlineStr">
        <is>
          <t>Мониторы LCD</t>
        </is>
      </c>
      <c r="B212" s="2" t="inlineStr">
        <is>
          <t>DELL</t>
        </is>
      </c>
      <c r="C212" s="2" t="inlineStr">
        <is>
          <t>P2723QE</t>
        </is>
      </c>
      <c r="D212" s="2" t="inlineStr">
        <is>
          <t>Монитор Dell 27" P2723QE, 16:9, IPS, UHD, 5ms, 60Hz, 350cd, HDMI, DP, USB-C, USB, LAN, HAS</t>
        </is>
      </c>
      <c r="E212" s="2">
        <v>100</v>
      </c>
      <c r="F212" s="2">
        <v>100</v>
      </c>
      <c r="H212" s="2">
        <v>540</v>
      </c>
      <c r="I212" s="2" t="inlineStr">
        <is>
          <t>$</t>
        </is>
      </c>
      <c r="J212" s="2">
        <f>HYPERLINK("https://app.astro.lead-studio.pro/product/58834626-9ec9-448e-b739-0ac9b044b37c")</f>
      </c>
    </row>
    <row r="213" spans="1:10" customHeight="0">
      <c r="A213" s="2" t="inlineStr">
        <is>
          <t>Мониторы LCD</t>
        </is>
      </c>
      <c r="B213" s="2" t="inlineStr">
        <is>
          <t>DELL</t>
        </is>
      </c>
      <c r="C213" s="2" t="inlineStr">
        <is>
          <t>U3223QE</t>
        </is>
      </c>
      <c r="D213" s="2" t="inlineStr">
        <is>
          <t>Монитор Dell 31.5" U3223QE, 16:9, IPS, UHD, 5ms, 400cd, 60Hz, HDMI, DP, USB, USB-C, LAN, HAS</t>
        </is>
      </c>
      <c r="E213" s="2">
        <v>40</v>
      </c>
      <c r="F213" s="2">
        <v>40</v>
      </c>
      <c r="H213" s="2">
        <v>1154</v>
      </c>
      <c r="I213" s="2" t="inlineStr">
        <is>
          <t>$</t>
        </is>
      </c>
      <c r="J213" s="2">
        <f>HYPERLINK("https://app.astro.lead-studio.pro/product/b5bc9377-6a54-49e2-b438-90ffba5b5817")</f>
      </c>
    </row>
    <row r="214" spans="1:10" customHeight="0">
      <c r="A214" s="2" t="inlineStr">
        <is>
          <t>Мониторы LCD</t>
        </is>
      </c>
      <c r="B214" s="2" t="inlineStr">
        <is>
          <t>DELL</t>
        </is>
      </c>
      <c r="C214" s="2" t="inlineStr">
        <is>
          <t>P3424WEB</t>
        </is>
      </c>
      <c r="D214" s="2" t="inlineStr">
        <is>
          <t>Монитор Dell 34 P3424WEB 3800R, 21:9, IPS, 4K, 300cd, 60Hz, HDMI, DP, USB, USB-C, LAN, CAM, HAS</t>
        </is>
      </c>
      <c r="E214" s="2" t="inlineStr">
        <is>
          <t>8</t>
        </is>
      </c>
      <c r="F214" s="2" t="inlineStr">
        <is>
          <t>8</t>
        </is>
      </c>
      <c r="H214" s="2">
        <v>974</v>
      </c>
      <c r="I214" s="2" t="inlineStr">
        <is>
          <t>$</t>
        </is>
      </c>
      <c r="J214" s="2">
        <f>HYPERLINK("https://app.astro.lead-studio.pro/product/7a9b5b45-54cc-46e9-a403-4babf6f867d1")</f>
      </c>
    </row>
    <row r="215" spans="1:10" customHeight="0">
      <c r="A215" s="2" t="inlineStr">
        <is>
          <t>Мониторы LCD</t>
        </is>
      </c>
      <c r="B215" s="2" t="inlineStr">
        <is>
          <t>LENOVO</t>
        </is>
      </c>
      <c r="C215" s="2" t="inlineStr">
        <is>
          <t>62CBRAS6CB</t>
        </is>
      </c>
      <c r="D215" s="2" t="inlineStr">
        <is>
          <t>Монитор Lenovo 27 P27u-20, 16:9, IPS, 4K, 450cd, 60Hz, HDMI, DP, USB, USB-C, 1xThunderbolt, LAN, HAS</t>
        </is>
      </c>
      <c r="E215" s="2">
        <v>40</v>
      </c>
      <c r="F215" s="2">
        <v>40</v>
      </c>
      <c r="H215" s="2">
        <v>891</v>
      </c>
      <c r="I215" s="2" t="inlineStr">
        <is>
          <t>$</t>
        </is>
      </c>
      <c r="J215" s="2">
        <f>HYPERLINK("https://app.astro.lead-studio.pro/product/dc1e76b9-acd3-41c0-97d5-09bc392cddeb")</f>
      </c>
    </row>
    <row r="216" spans="1:10" customHeight="0">
      <c r="A216" s="2" t="inlineStr">
        <is>
          <t>Мониторы LCD</t>
        </is>
      </c>
      <c r="B216" s="2" t="inlineStr">
        <is>
          <t>LENOVO</t>
        </is>
      </c>
      <c r="C216" s="2" t="inlineStr">
        <is>
          <t>63D6UAS3CB</t>
        </is>
      </c>
      <c r="D216" s="2" t="inlineStr">
        <is>
          <t>Монитор Lenovo 27 T27hv-30, 16:9, IPS, QHD, 300cd, 75Hz, HDMI, DP, DP OUT, USB, USB-C, LAN, CAM, HAS</t>
        </is>
      </c>
      <c r="E216" s="2">
        <v>40</v>
      </c>
      <c r="F216" s="2">
        <v>40</v>
      </c>
      <c r="H216" s="2">
        <v>454</v>
      </c>
      <c r="I216" s="2" t="inlineStr">
        <is>
          <t>$</t>
        </is>
      </c>
      <c r="J216" s="2">
        <f>HYPERLINK("https://app.astro.lead-studio.pro/product/45a56f78-a4dd-4a82-a686-bdf55fb70627")</f>
      </c>
    </row>
    <row r="217" spans="1:10" customHeight="0">
      <c r="A217" s="2" t="inlineStr">
        <is>
          <t>Мониторы LCD</t>
        </is>
      </c>
      <c r="B217" s="2" t="inlineStr">
        <is>
          <t>LENOVO</t>
        </is>
      </c>
      <c r="C217" s="2" t="inlineStr">
        <is>
          <t>62D0GAR1CB</t>
        </is>
      </c>
      <c r="D217" s="2" t="inlineStr">
        <is>
          <t>Монитор Lenovo 27" E27q-20, 16:9, IPS, QHD, 4ms, 350cd, 75Hz, HDMI, DP, SPK, HAS</t>
        </is>
      </c>
      <c r="E217" s="2">
        <v>100</v>
      </c>
      <c r="F217" s="2">
        <v>100</v>
      </c>
      <c r="H217" s="2">
        <v>330</v>
      </c>
      <c r="I217" s="2" t="inlineStr">
        <is>
          <t>$</t>
        </is>
      </c>
      <c r="J217" s="2">
        <f>HYPERLINK("https://app.astro.lead-studio.pro/product/68df1be1-d471-4f5d-8340-71ab304d1587")</f>
      </c>
    </row>
    <row r="218" spans="1:10" customHeight="0">
      <c r="A218" s="2" t="inlineStr">
        <is>
          <t>Мониторы LCD</t>
        </is>
      </c>
      <c r="B218" s="2" t="inlineStr">
        <is>
          <t>LENOVO</t>
        </is>
      </c>
      <c r="C218" s="2" t="inlineStr">
        <is>
          <t>61E9GAT6EU</t>
        </is>
      </c>
      <c r="D218" s="2" t="inlineStr">
        <is>
          <t>Монитор Lenovo 27" P27h-20, 16:9, IPS, QHD, 4ms, 350cd, 60Hz, HDMI, DP, DP OUT, USB-C, USB, LAN, HAS</t>
        </is>
      </c>
      <c r="E218" s="2">
        <v>10</v>
      </c>
      <c r="F218" s="2">
        <v>10</v>
      </c>
      <c r="H218" s="2">
        <v>549</v>
      </c>
      <c r="I218" s="2" t="inlineStr">
        <is>
          <t>$</t>
        </is>
      </c>
      <c r="J218" s="2">
        <f>HYPERLINK("https://app.astro.lead-studio.pro/product/1e98da34-4003-47d2-b2a8-c3cd4caeae99")</f>
      </c>
    </row>
    <row r="219" spans="1:10" customHeight="0">
      <c r="A219" s="2" t="inlineStr">
        <is>
          <t>Мониторы LCD</t>
        </is>
      </c>
      <c r="B219" s="2" t="inlineStr">
        <is>
          <t>LENOVO</t>
        </is>
      </c>
      <c r="C219" s="2" t="inlineStr">
        <is>
          <t>63A1GAT1EU</t>
        </is>
      </c>
      <c r="D219" s="2" t="inlineStr">
        <is>
          <t>Монитор Lenovo 27" P27h-30, 16:9, IPS, QHD, 4ms, 350cd, 60Hz, HDMI, DP, DP OUT, USB-C, USB, LAN, HAS</t>
        </is>
      </c>
      <c r="E219" s="2" t="inlineStr">
        <is>
          <t>5</t>
        </is>
      </c>
      <c r="F219" s="2" t="inlineStr">
        <is>
          <t>5</t>
        </is>
      </c>
      <c r="H219" s="2">
        <v>515</v>
      </c>
      <c r="I219" s="2" t="inlineStr">
        <is>
          <t>$</t>
        </is>
      </c>
      <c r="J219" s="2">
        <f>HYPERLINK("https://app.astro.lead-studio.pro/product/167e470e-cf37-4d52-b5e3-42c51f21443c")</f>
      </c>
    </row>
    <row r="220" spans="1:10" customHeight="0">
      <c r="A220" s="2" t="inlineStr">
        <is>
          <t>Мониторы LCD</t>
        </is>
      </c>
      <c r="B220" s="2" t="inlineStr">
        <is>
          <t>LENOVO</t>
        </is>
      </c>
      <c r="C220" s="2" t="inlineStr">
        <is>
          <t>63A3GAT1EU</t>
        </is>
      </c>
      <c r="D220" s="2" t="inlineStr">
        <is>
          <t>Монитор Lenovo 27" T27h-30, 16:9, IPS, QHD, 4ms, 350cd, 60Hz, HDMI, DP, USB-C, USB, LAN, HAS</t>
        </is>
      </c>
      <c r="E220" s="2">
        <v>10</v>
      </c>
      <c r="F220" s="2">
        <v>10</v>
      </c>
      <c r="H220" s="2">
        <v>415</v>
      </c>
      <c r="I220" s="2" t="inlineStr">
        <is>
          <t>$</t>
        </is>
      </c>
      <c r="J220" s="2">
        <f>HYPERLINK("https://app.astro.lead-studio.pro/product/650d4b29-5459-42cc-b71d-6d98e6504d54")</f>
      </c>
    </row>
    <row r="221" spans="1:10" customHeight="0">
      <c r="A221" s="2" t="inlineStr">
        <is>
          <t>Мониторы LCD</t>
        </is>
      </c>
      <c r="B221" s="2" t="inlineStr">
        <is>
          <t>LENOVO</t>
        </is>
      </c>
      <c r="C221" s="2" t="inlineStr">
        <is>
          <t>63A3GAR1CB</t>
        </is>
      </c>
      <c r="D221" s="2" t="inlineStr">
        <is>
          <t>Монитор Lenovo 27" T27h-30, 16:9, IPS, QHD, 4ms, 350cd, 60Hz, HDMI, DP, USB-C, USB, LAN, HAS</t>
        </is>
      </c>
      <c r="E221" s="2">
        <v>40</v>
      </c>
      <c r="F221" s="2">
        <v>40</v>
      </c>
      <c r="H221" s="2">
        <v>432</v>
      </c>
      <c r="I221" s="2" t="inlineStr">
        <is>
          <t>$</t>
        </is>
      </c>
      <c r="J221" s="2">
        <f>HYPERLINK("https://app.astro.lead-studio.pro/product/abfb6813-6c3c-463c-addc-abe3118961d0")</f>
      </c>
    </row>
    <row r="222" spans="1:10" customHeight="0">
      <c r="A222" s="2" t="inlineStr">
        <is>
          <t>Мониторы LCD</t>
        </is>
      </c>
      <c r="B222" s="2" t="inlineStr">
        <is>
          <t>LENOVO</t>
        </is>
      </c>
      <c r="C222" s="2" t="inlineStr">
        <is>
          <t>63A4MAR1CB</t>
        </is>
      </c>
      <c r="D222" s="2" t="inlineStr">
        <is>
          <t>Монитор Lenovo 27" T27i-30, 16:9, IPS, FHD, 4ms, 250cd, 60Hz, VGA, HDMI, DP, USB, HAS</t>
        </is>
      </c>
      <c r="E222" s="2">
        <v>100</v>
      </c>
      <c r="F222" s="2">
        <v>100</v>
      </c>
      <c r="H222" s="2">
        <v>336</v>
      </c>
      <c r="I222" s="2" t="inlineStr">
        <is>
          <t>$</t>
        </is>
      </c>
      <c r="J222" s="2">
        <f>HYPERLINK("https://app.astro.lead-studio.pro/product/ea5f059c-5aa4-42b0-8768-9cdf824b7fa2")</f>
      </c>
    </row>
    <row r="223" spans="1:10" customHeight="0">
      <c r="A223" s="2" t="inlineStr">
        <is>
          <t>Мониторы LCD</t>
        </is>
      </c>
      <c r="B223" s="2" t="inlineStr">
        <is>
          <t>LENOVO</t>
        </is>
      </c>
      <c r="C223" s="2" t="inlineStr">
        <is>
          <t>63A9GAR1CB</t>
        </is>
      </c>
      <c r="D223" s="2" t="inlineStr">
        <is>
          <t>Монитор Lenovo 27" T27p-30, 16:9, IPS, UHD, 4ms, 350cd, 60Hz, HDMI, DP, USB-C, USB, LAN, HAS</t>
        </is>
      </c>
      <c r="E223" s="2">
        <v>40</v>
      </c>
      <c r="F223" s="2">
        <v>40</v>
      </c>
      <c r="H223" s="2">
        <v>564</v>
      </c>
      <c r="I223" s="2" t="inlineStr">
        <is>
          <t>$</t>
        </is>
      </c>
      <c r="J223" s="2">
        <f>HYPERLINK("https://app.astro.lead-studio.pro/product/85955644-85bf-4da3-aac0-da58ec343f5c")</f>
      </c>
    </row>
    <row r="224" spans="1:10" customHeight="0">
      <c r="A224" s="2" t="inlineStr">
        <is>
          <t>Мониторы LCD</t>
        </is>
      </c>
      <c r="B224" s="2" t="inlineStr">
        <is>
          <t>LENOVO</t>
        </is>
      </c>
      <c r="C224" s="2" t="inlineStr">
        <is>
          <t>63A9GAT1EU</t>
        </is>
      </c>
      <c r="D224" s="2" t="inlineStr">
        <is>
          <t>Монитор Lenovo 27" T27p-30, 16:9, IPS, UHD, 4ms, 350cd, 60Hz, HDMI, DP, USB-C, USB, LAN, HAS</t>
        </is>
      </c>
      <c r="E224" s="2" t="inlineStr">
        <is>
          <t>3</t>
        </is>
      </c>
      <c r="F224" s="2" t="inlineStr">
        <is>
          <t>3</t>
        </is>
      </c>
      <c r="H224" s="2">
        <v>565</v>
      </c>
      <c r="I224" s="2" t="inlineStr">
        <is>
          <t>$</t>
        </is>
      </c>
      <c r="J224" s="2">
        <f>HYPERLINK("https://app.astro.lead-studio.pro/product/1d0ea513-a5ac-4144-9cef-a673cb30cdad")</f>
      </c>
    </row>
    <row r="225" spans="1:10" customHeight="0">
      <c r="A225" s="2" t="inlineStr">
        <is>
          <t>Мониторы LCD</t>
        </is>
      </c>
      <c r="B225" s="2" t="inlineStr">
        <is>
          <t>LENOVO</t>
        </is>
      </c>
      <c r="C225" s="2" t="inlineStr">
        <is>
          <t>11JHRAT1EU</t>
        </is>
      </c>
      <c r="D225" s="2" t="inlineStr">
        <is>
          <t>Монитор Lenovo 27" TIO 27, 16:9, IPS, QHD, 4ms, 350cd, 60Hz, HDMI, DP, USB, SPK, CAM, HAS</t>
        </is>
      </c>
      <c r="E225" s="2">
        <v>10</v>
      </c>
      <c r="F225" s="2">
        <v>10</v>
      </c>
      <c r="H225" s="2">
        <v>578</v>
      </c>
      <c r="I225" s="2" t="inlineStr">
        <is>
          <t>$</t>
        </is>
      </c>
      <c r="J225" s="2">
        <f>HYPERLINK("https://app.astro.lead-studio.pro/product/2a1511ee-a39f-4402-97bf-dfd315c97248")</f>
      </c>
    </row>
    <row r="226" spans="1:10" customHeight="0">
      <c r="A226" s="2" t="inlineStr">
        <is>
          <t>Мониторы LCD</t>
        </is>
      </c>
      <c r="B226" s="2" t="inlineStr">
        <is>
          <t>LENOVO</t>
        </is>
      </c>
      <c r="C226" s="2" t="inlineStr">
        <is>
          <t>63D3GAT1EU</t>
        </is>
      </c>
      <c r="D226" s="2" t="inlineStr">
        <is>
          <t>Монитор Lenovo 31.5" T32h-30, 16:9, IPS, QHD, 4ms, 350cd, 60Hz, HDMI, DP, USB, USB-C, LAN, HAS</t>
        </is>
      </c>
      <c r="E226" s="2">
        <v>10</v>
      </c>
      <c r="F226" s="2">
        <v>10</v>
      </c>
      <c r="H226" s="2">
        <v>562</v>
      </c>
      <c r="I226" s="2" t="inlineStr">
        <is>
          <t>$</t>
        </is>
      </c>
      <c r="J226" s="2">
        <f>HYPERLINK("https://app.astro.lead-studio.pro/product/49b5447c-0680-4bce-ae42-c5d12f9e50dd")</f>
      </c>
    </row>
    <row r="227" spans="1:10" customHeight="0">
      <c r="A227" s="2" t="inlineStr">
        <is>
          <t>Мониторы LCD</t>
        </is>
      </c>
      <c r="B227" s="2" t="inlineStr">
        <is>
          <t>LENOVO</t>
        </is>
      </c>
      <c r="C227" s="2" t="inlineStr">
        <is>
          <t>63D2GAT1EU</t>
        </is>
      </c>
      <c r="D227" s="2" t="inlineStr">
        <is>
          <t>Монитор Lenovo 31.5" T32p-30, 16:9, IPS, UHD, 4ms, 350cd, 60Hz, HDMI, DP, USB, USB-C, LAN, HAS</t>
        </is>
      </c>
      <c r="E227" s="2">
        <v>10</v>
      </c>
      <c r="F227" s="2">
        <v>10</v>
      </c>
      <c r="H227" s="2">
        <v>733</v>
      </c>
      <c r="I227" s="2" t="inlineStr">
        <is>
          <t>$</t>
        </is>
      </c>
      <c r="J227" s="2">
        <f>HYPERLINK("https://app.astro.lead-studio.pro/product/cf462378-fbbf-4c1a-8561-57ee7f4e61e9")</f>
      </c>
    </row>
    <row r="228" spans="1:10" customHeight="0">
      <c r="A228" s="2" t="inlineStr">
        <is>
          <t>Мониторы LCD</t>
        </is>
      </c>
      <c r="B228" s="2" t="inlineStr">
        <is>
          <t>LENOVO</t>
        </is>
      </c>
      <c r="C228" s="2" t="inlineStr">
        <is>
          <t>63D2GCR1CS</t>
        </is>
      </c>
      <c r="D228" s="2" t="inlineStr">
        <is>
          <t>Монитор Lenovo 31.5" T32p-30, 16:9, IPS, UHD, 4ms, 350cd, 60Hz, HDMI, DP, USB, USB-C, LAN, HAS</t>
        </is>
      </c>
      <c r="E228" s="2">
        <v>10</v>
      </c>
      <c r="F228" s="2">
        <v>10</v>
      </c>
      <c r="H228" s="2">
        <v>728</v>
      </c>
      <c r="I228" s="2" t="inlineStr">
        <is>
          <t>$</t>
        </is>
      </c>
      <c r="J228" s="2">
        <f>HYPERLINK("https://app.astro.lead-studio.pro/product/8c1c2e3a-67c9-45e6-8986-a8a881fe9bd5")</f>
      </c>
    </row>
    <row r="229" spans="1:10" customHeight="0">
      <c r="A229" s="2" t="inlineStr">
        <is>
          <t>Мониторы LCD</t>
        </is>
      </c>
      <c r="B229" s="2" t="inlineStr">
        <is>
          <t>LENOVO</t>
        </is>
      </c>
      <c r="C229" s="2" t="inlineStr">
        <is>
          <t>63D4GAS1CB</t>
        </is>
      </c>
      <c r="D229" s="2" t="inlineStr">
        <is>
          <t>Монитор Lenovo 34" T34w-30  1500R, 21:9, VA, UHD, 4ms, 350cd, 60Hz, HDMI, DP, USB, USB-C LAN, HAS</t>
        </is>
      </c>
      <c r="E229" s="2">
        <v>10</v>
      </c>
      <c r="F229" s="2">
        <v>10</v>
      </c>
      <c r="H229" s="2">
        <v>668</v>
      </c>
      <c r="I229" s="2" t="inlineStr">
        <is>
          <t>$</t>
        </is>
      </c>
      <c r="J229" s="2">
        <f>HYPERLINK("https://app.astro.lead-studio.pro/product/813eafcc-8e2e-43a6-b32b-ddb7a4c87275")</f>
      </c>
    </row>
    <row r="230" spans="1:10" customHeight="0">
      <c r="A230" s="2" t="inlineStr">
        <is>
          <t>Мониторы LCD</t>
        </is>
      </c>
      <c r="B230" s="2" t="inlineStr">
        <is>
          <t>LENOVO</t>
        </is>
      </c>
      <c r="C230" s="2" t="inlineStr">
        <is>
          <t>62C1GAR6CB</t>
        </is>
      </c>
      <c r="D230" s="2" t="inlineStr">
        <is>
          <t>Монитор Lenovo 39.7 P40w-20 2500R, 21:9, IPS, 5K, 300cd, 75Hz, HDMI, DP, Tblt, USB, USB-C, LAN, HAS</t>
        </is>
      </c>
      <c r="E230" s="2" t="inlineStr">
        <is>
          <t>10</t>
        </is>
      </c>
      <c r="F230" s="2" t="inlineStr">
        <is>
          <t>10</t>
        </is>
      </c>
      <c r="H230" s="2">
        <v>1754</v>
      </c>
      <c r="I230" s="2" t="inlineStr">
        <is>
          <t>$</t>
        </is>
      </c>
      <c r="J230" s="2">
        <f>HYPERLINK("https://app.astro.lead-studio.pro/product/8a2a6a45-f468-4f02-8794-204194cf6e91")</f>
      </c>
    </row>
    <row r="231" spans="1:10" customHeight="0">
      <c r="A231" s="2" t="inlineStr">
        <is>
          <t>Мониторы LCD</t>
        </is>
      </c>
      <c r="B231" s="2" t="inlineStr">
        <is>
          <t>LENOVO</t>
        </is>
      </c>
      <c r="C231" s="2" t="inlineStr">
        <is>
          <t>62C1GAT6EU</t>
        </is>
      </c>
      <c r="D231" s="2" t="inlineStr">
        <is>
          <t>Монитор Lenovo 39.7 P40w-20 2500R, 21:9, IPS, 5K, 300cd, 75Hz, HDMI, DP,Tblt, USB, USB-C, LAN, HAS</t>
        </is>
      </c>
      <c r="E231" s="2" t="inlineStr">
        <is>
          <t>7</t>
        </is>
      </c>
      <c r="F231" s="2" t="inlineStr">
        <is>
          <t>7</t>
        </is>
      </c>
      <c r="H231" s="2">
        <v>1698</v>
      </c>
      <c r="I231" s="2" t="inlineStr">
        <is>
          <t>$</t>
        </is>
      </c>
      <c r="J231" s="2">
        <f>HYPERLINK("https://app.astro.lead-studio.pro/product/183e4abe-0257-4b34-b731-1db977504e1a")</f>
      </c>
    </row>
    <row r="232" spans="1:10" customHeight="0">
      <c r="A232" s="2" t="inlineStr">
        <is>
          <t>Мониторы LCD</t>
        </is>
      </c>
      <c r="B232" s="2" t="inlineStr">
        <is>
          <t>LG</t>
        </is>
      </c>
      <c r="C232" s="2" t="inlineStr">
        <is>
          <t>27GR93U-B</t>
        </is>
      </c>
      <c r="D232" s="2" t="inlineStr">
        <is>
          <t>Монитор LG 27" 27GR93U-B, 16:9, IPS, UHD, 1ms, 400cd, 144Hz, HDMI, DP, USB, HAS</t>
        </is>
      </c>
      <c r="E232" s="2">
        <v>10</v>
      </c>
      <c r="F232" s="2">
        <v>10</v>
      </c>
      <c r="H232" s="2">
        <v>533</v>
      </c>
      <c r="I232" s="2" t="inlineStr">
        <is>
          <t>$</t>
        </is>
      </c>
      <c r="J232" s="2">
        <f>HYPERLINK("https://app.astro.lead-studio.pro/product/8680c217-42d4-4342-8c80-fca9ebdd0cb9")</f>
      </c>
    </row>
    <row r="233" spans="1:10" customHeight="0">
      <c r="A233" s="2" t="inlineStr">
        <is>
          <t>Мониторы LCD</t>
        </is>
      </c>
      <c r="B233" s="2" t="inlineStr">
        <is>
          <t>LG</t>
        </is>
      </c>
      <c r="C233" s="2" t="inlineStr">
        <is>
          <t>27GS85Q-B</t>
        </is>
      </c>
      <c r="D233" s="2" t="inlineStr">
        <is>
          <t>Монитор LG 27" 27GS85Q-B, 16:9, IPS, QHD, 1ms, 400cd, 200Hz,HDMI, DP, USB, HAS</t>
        </is>
      </c>
      <c r="E233" s="2">
        <v>10</v>
      </c>
      <c r="F233" s="2">
        <v>10</v>
      </c>
      <c r="H233" s="2">
        <v>368</v>
      </c>
      <c r="I233" s="2" t="inlineStr">
        <is>
          <t>$</t>
        </is>
      </c>
      <c r="J233" s="2">
        <f>HYPERLINK("https://app.astro.lead-studio.pro/product/0bd7382e-d5fa-4ca2-937a-cb95b11135d5")</f>
      </c>
    </row>
    <row r="234" spans="1:10" customHeight="0">
      <c r="A234" s="2" t="inlineStr">
        <is>
          <t>Мониторы LCD</t>
        </is>
      </c>
      <c r="B234" s="2" t="inlineStr">
        <is>
          <t>LG</t>
        </is>
      </c>
      <c r="C234" s="2" t="inlineStr">
        <is>
          <t>32SR83U-W</t>
        </is>
      </c>
      <c r="D234" s="2" t="inlineStr">
        <is>
          <t>Монитор LG 31,5 32SR83U-W Smart, 16:9, IPS, UHD, 5ms, 400cd, 60Hz, HDMI, USB-C, USB, SPK, HAS</t>
        </is>
      </c>
      <c r="E234" s="2" t="inlineStr">
        <is>
          <t>5</t>
        </is>
      </c>
      <c r="F234" s="2" t="inlineStr">
        <is>
          <t>5</t>
        </is>
      </c>
      <c r="H234" s="2">
        <v>559</v>
      </c>
      <c r="I234" s="2" t="inlineStr">
        <is>
          <t>$</t>
        </is>
      </c>
      <c r="J234" s="2">
        <f>HYPERLINK("https://app.astro.lead-studio.pro/product/735580ed-22f1-48a1-88f7-927f5fde8625")</f>
      </c>
    </row>
    <row r="235" spans="1:10" customHeight="0">
      <c r="A235" s="2" t="inlineStr">
        <is>
          <t>Мониторы LCD</t>
        </is>
      </c>
      <c r="B235" s="2" t="inlineStr">
        <is>
          <t>LG</t>
        </is>
      </c>
      <c r="C235" s="2" t="inlineStr">
        <is>
          <t>32SR85U-W</t>
        </is>
      </c>
      <c r="D235" s="2" t="inlineStr">
        <is>
          <t>Монитор LG 31,5 32SR85U-W Smart, 16:9, IPS, UHD, 5ms, 400cd, 60Hz, HDMI, USB-C, USB, SPK, HAS</t>
        </is>
      </c>
      <c r="E235" s="2">
        <v>10</v>
      </c>
      <c r="F235" s="2">
        <v>10</v>
      </c>
      <c r="H235" s="2">
        <v>593</v>
      </c>
      <c r="I235" s="2" t="inlineStr">
        <is>
          <t>$</t>
        </is>
      </c>
      <c r="J235" s="2">
        <f>HYPERLINK("https://app.astro.lead-studio.pro/product/fdb3daa1-5b7a-4811-a65c-29c8f39a3e74")</f>
      </c>
    </row>
    <row r="236" spans="1:10" customHeight="0">
      <c r="A236" s="2" t="inlineStr">
        <is>
          <t>Мониторы LCD</t>
        </is>
      </c>
      <c r="B236" s="2" t="inlineStr">
        <is>
          <t>LG</t>
        </is>
      </c>
      <c r="C236" s="2" t="inlineStr">
        <is>
          <t>32GS85Q-B</t>
        </is>
      </c>
      <c r="D236" s="2" t="inlineStr">
        <is>
          <t>Монитор LG 31,5" 32GS85Q-B, 16:9, IPS, QHD, 1ms, 350cd, 180Hz, HDMI, DP, USB, HAS</t>
        </is>
      </c>
      <c r="E236" s="2" t="inlineStr">
        <is>
          <t>7</t>
        </is>
      </c>
      <c r="F236" s="2" t="inlineStr">
        <is>
          <t>7</t>
        </is>
      </c>
      <c r="H236" s="2">
        <v>452</v>
      </c>
      <c r="I236" s="2" t="inlineStr">
        <is>
          <t>$</t>
        </is>
      </c>
      <c r="J236" s="2">
        <f>HYPERLINK("https://app.astro.lead-studio.pro/product/b9258013-94db-411a-af6e-63a0f84f44aa")</f>
      </c>
    </row>
    <row r="237" spans="1:10" customHeight="0">
      <c r="A237" s="2" t="inlineStr">
        <is>
          <t>Мониторы LCD</t>
        </is>
      </c>
      <c r="B237" s="2" t="inlineStr">
        <is>
          <t>LG</t>
        </is>
      </c>
      <c r="C237" s="2" t="inlineStr">
        <is>
          <t>32SQ700S-W</t>
        </is>
      </c>
      <c r="D237" s="2" t="inlineStr">
        <is>
          <t>Монитор LG 31,5" 32SQ700S-W Smart, 16:9, VA, UHD, 5ms, 250cd, 60Hz, HDMI, USB, USB-C, LAN, SPK</t>
        </is>
      </c>
      <c r="E237" s="2" t="inlineStr">
        <is>
          <t>10</t>
        </is>
      </c>
      <c r="F237" s="2" t="inlineStr">
        <is>
          <t>10</t>
        </is>
      </c>
      <c r="H237" s="2">
        <v>441</v>
      </c>
      <c r="I237" s="2" t="inlineStr">
        <is>
          <t>$</t>
        </is>
      </c>
      <c r="J237" s="2">
        <f>HYPERLINK("https://app.astro.lead-studio.pro/product/5423fd23-4e15-4bbf-9864-0129ba554488")</f>
      </c>
    </row>
    <row r="238" spans="1:10" customHeight="0">
      <c r="A238" s="2" t="inlineStr">
        <is>
          <t>Мониторы LCD</t>
        </is>
      </c>
      <c r="B238" s="2" t="inlineStr">
        <is>
          <t>LG</t>
        </is>
      </c>
      <c r="C238" s="2" t="inlineStr">
        <is>
          <t>34GS95QE-B</t>
        </is>
      </c>
      <c r="D238" s="2" t="inlineStr">
        <is>
          <t>Монитор LG 34" 34GS95QE-B 800R, 21:9, OLED, UHD, 0,03ms, 275cd, 240Hz, HDMI, DP, USB, HAS</t>
        </is>
      </c>
      <c r="E238" s="2" t="inlineStr">
        <is>
          <t>7</t>
        </is>
      </c>
      <c r="F238" s="2" t="inlineStr">
        <is>
          <t>7</t>
        </is>
      </c>
      <c r="H238" s="2">
        <v>1348</v>
      </c>
      <c r="I238" s="2" t="inlineStr">
        <is>
          <t>$</t>
        </is>
      </c>
      <c r="J238" s="2">
        <f>HYPERLINK("https://app.astro.lead-studio.pro/product/650f1aa8-b9f9-45a4-888a-19dc6d8a03cd")</f>
      </c>
    </row>
    <row r="239" spans="1:10" customHeight="0">
      <c r="A239" s="2" t="inlineStr">
        <is>
          <t>Мониторы LCD</t>
        </is>
      </c>
      <c r="B239" s="2" t="inlineStr">
        <is>
          <t>LG</t>
        </is>
      </c>
      <c r="C239" s="2" t="inlineStr">
        <is>
          <t>38WR85QC-W</t>
        </is>
      </c>
      <c r="D239" s="2" t="inlineStr">
        <is>
          <t>Монитор LG 37,5" 38WR85QC-W 2300R, 21:9, IPS, UHD, 1ms, 450cd, 144Hz, HDMI, DP, USB-C, USB, LAN, HAS</t>
        </is>
      </c>
      <c r="E239" s="2" t="inlineStr">
        <is>
          <t>3</t>
        </is>
      </c>
      <c r="F239" s="2" t="inlineStr">
        <is>
          <t>3</t>
        </is>
      </c>
      <c r="H239" s="2">
        <v>1258</v>
      </c>
      <c r="I239" s="2" t="inlineStr">
        <is>
          <t>$</t>
        </is>
      </c>
      <c r="J239" s="2">
        <f>HYPERLINK("https://app.astro.lead-studio.pro/product/9520c57f-0d7c-4b9b-8bb9-d2172f64486b")</f>
      </c>
    </row>
    <row r="240" spans="1:10" customHeight="0">
      <c r="A240" s="2" t="inlineStr">
        <is>
          <t>Мониторы LCD</t>
        </is>
      </c>
      <c r="B240" s="2" t="inlineStr">
        <is>
          <t>LG</t>
        </is>
      </c>
      <c r="C240" s="2" t="inlineStr">
        <is>
          <t>40WP95C-W</t>
        </is>
      </c>
      <c r="D240" s="2" t="inlineStr">
        <is>
          <t>Монитор LG 39,7 40WP95C-W 2500R, 21:9, IPS, 5K, 300cd, 72Hz, HDMI, DP, Thunderbolt, USB-C, USB, HAS</t>
        </is>
      </c>
      <c r="E240" s="2" t="inlineStr">
        <is>
          <t>2</t>
        </is>
      </c>
      <c r="F240" s="2" t="inlineStr">
        <is>
          <t>2</t>
        </is>
      </c>
      <c r="H240" s="2">
        <v>1253</v>
      </c>
      <c r="I240" s="2" t="inlineStr">
        <is>
          <t>$</t>
        </is>
      </c>
      <c r="J240" s="2">
        <f>HYPERLINK("https://app.astro.lead-studio.pro/product/6a18a0a7-9f13-4b89-86d4-d997a510490e")</f>
      </c>
    </row>
    <row r="241" spans="1:10" customHeight="0">
      <c r="A241" s="2" t="inlineStr">
        <is>
          <t>Мониторы LCD</t>
        </is>
      </c>
      <c r="B241" s="2" t="inlineStr">
        <is>
          <t>LG</t>
        </is>
      </c>
      <c r="C241" s="2" t="inlineStr">
        <is>
          <t>39GS95QE-B</t>
        </is>
      </c>
      <c r="D241" s="2" t="inlineStr">
        <is>
          <t>Монитор LG 39" 39GS95QE-B 800R, 21:9, OLED, UHD, 0,03ms, 275cd, 240Hz, HDMI, DP, USB, HAS</t>
        </is>
      </c>
      <c r="E241" s="2" t="inlineStr">
        <is>
          <t>8</t>
        </is>
      </c>
      <c r="F241" s="2" t="inlineStr">
        <is>
          <t>8</t>
        </is>
      </c>
      <c r="H241" s="2">
        <v>1670</v>
      </c>
      <c r="I241" s="2" t="inlineStr">
        <is>
          <t>$</t>
        </is>
      </c>
      <c r="J241" s="2">
        <f>HYPERLINK("https://app.astro.lead-studio.pro/product/a1282eb9-067c-42a5-acaf-f9f2c51a8e7b")</f>
      </c>
    </row>
    <row r="242" spans="1:10" customHeight="0">
      <c r="A242" s="2" t="inlineStr">
        <is>
          <t>Мониторы LCD</t>
        </is>
      </c>
      <c r="B242" s="2" t="inlineStr">
        <is>
          <t>LG</t>
        </is>
      </c>
      <c r="C242" s="2" t="inlineStr">
        <is>
          <t>45GS95QE-B</t>
        </is>
      </c>
      <c r="D242" s="2" t="inlineStr">
        <is>
          <t>Монитор LG 44,5" 45GS95QE-B 800R, 21:9, OLED, UHD, 0,03ms, 275cd, 240Hz, HDMI, DP, USB, HAS</t>
        </is>
      </c>
      <c r="E242" s="2" t="inlineStr">
        <is>
          <t>1</t>
        </is>
      </c>
      <c r="F242" s="2" t="inlineStr">
        <is>
          <t>1</t>
        </is>
      </c>
      <c r="H242" s="2">
        <v>1942</v>
      </c>
      <c r="I242" s="2" t="inlineStr">
        <is>
          <t>$</t>
        </is>
      </c>
      <c r="J242" s="2">
        <f>HYPERLINK("https://app.astro.lead-studio.pro/product/dab8be8d-1381-4a99-9f48-e7ebfd79c48d")</f>
      </c>
    </row>
    <row r="243" spans="1:10" customHeight="0">
      <c r="A243" s="2" t="inlineStr">
        <is>
          <t>Мониторы LCD</t>
        </is>
      </c>
      <c r="B243" s="2" t="inlineStr">
        <is>
          <t>LG</t>
        </is>
      </c>
      <c r="C243" s="2" t="inlineStr">
        <is>
          <t>49GR85DC-B</t>
        </is>
      </c>
      <c r="D243" s="2" t="inlineStr">
        <is>
          <t>Монитор LG 49" 49GR85DC-B 1000R, 32:9, VA, 5K UHD, 1ms, 450cd, 240Hz, HDMI, DP, USB, HAS</t>
        </is>
      </c>
      <c r="E243" s="2" t="inlineStr">
        <is>
          <t>7</t>
        </is>
      </c>
      <c r="F243" s="2" t="inlineStr">
        <is>
          <t>7</t>
        </is>
      </c>
      <c r="H243" s="2">
        <v>1242</v>
      </c>
      <c r="I243" s="2" t="inlineStr">
        <is>
          <t>$</t>
        </is>
      </c>
      <c r="J243" s="2">
        <f>HYPERLINK("https://app.astro.lead-studio.pro/product/58ffb43c-4560-46c9-8a8d-7db933c74e86")</f>
      </c>
    </row>
    <row r="244" spans="1:10" customHeight="0">
      <c r="A244" s="2" t="inlineStr">
        <is>
          <t>Мониторы LCD</t>
        </is>
      </c>
      <c r="B244" s="2" t="inlineStr">
        <is>
          <t>MSI</t>
        </is>
      </c>
      <c r="C244" s="2" t="inlineStr">
        <is>
          <t>9S6-3CD04H-060</t>
        </is>
      </c>
      <c r="D244" s="2" t="inlineStr">
        <is>
          <t>Монитор MSI 27 MAG 275CQRF QD E2 1500R, 16:9, VA, QHD, 1ms, 300cd, 180Hz, HDMI, DP, USB, USB-C, HAS</t>
        </is>
      </c>
      <c r="E244" s="2">
        <v>10</v>
      </c>
      <c r="F244" s="2">
        <v>10</v>
      </c>
      <c r="H244" s="2">
        <v>334</v>
      </c>
      <c r="I244" s="2" t="inlineStr">
        <is>
          <t>$</t>
        </is>
      </c>
      <c r="J244" s="2">
        <f>HYPERLINK("https://app.astro.lead-studio.pro/product/26b387e6-7979-4771-a256-21ce933bf635")</f>
      </c>
    </row>
    <row r="245" spans="1:10" customHeight="0">
      <c r="A245" s="2" t="inlineStr">
        <is>
          <t>Мониторы LCD</t>
        </is>
      </c>
      <c r="B245" s="2" t="inlineStr">
        <is>
          <t>MSI</t>
        </is>
      </c>
      <c r="C245" s="2" t="inlineStr">
        <is>
          <t>9S6-3CD04H-061</t>
        </is>
      </c>
      <c r="D245" s="2" t="inlineStr">
        <is>
          <t>Монитор MSI 27'' MPG 275CQRXF 1500R, 16:9, VA, QHD, 0.5ms, 400cd, 240Hz, HDMI, DP, USB, USB-C, HAS</t>
        </is>
      </c>
      <c r="E245" s="2">
        <v>10</v>
      </c>
      <c r="F245" s="2">
        <v>10</v>
      </c>
      <c r="H245" s="2">
        <v>381</v>
      </c>
      <c r="I245" s="2" t="inlineStr">
        <is>
          <t>$</t>
        </is>
      </c>
      <c r="J245" s="2">
        <f>HYPERLINK("https://app.astro.lead-studio.pro/product/cdce852d-48aa-4102-8814-e0aede7f79df")</f>
      </c>
    </row>
    <row r="246" spans="1:10" customHeight="0">
      <c r="A246" s="2" t="inlineStr">
        <is>
          <t>Мониторы LCD</t>
        </is>
      </c>
      <c r="B246" s="2" t="inlineStr">
        <is>
          <t>MSI</t>
        </is>
      </c>
      <c r="C246" s="2" t="inlineStr">
        <is>
          <t>9S6-3DC79T-014</t>
        </is>
      </c>
      <c r="D246" s="2" t="inlineStr">
        <is>
          <t>Монитор MSI 32'' MAG 322UPF, 16:9, IPS, UHD, 1ms, 350cd, 160Hz, HDMI, DP, USB, USB-C, HAS</t>
        </is>
      </c>
      <c r="E246" s="2">
        <v>10</v>
      </c>
      <c r="F246" s="2">
        <v>10</v>
      </c>
      <c r="H246" s="2">
        <v>793</v>
      </c>
      <c r="I246" s="2" t="inlineStr">
        <is>
          <t>$</t>
        </is>
      </c>
      <c r="J246" s="2">
        <f>HYPERLINK("https://app.astro.lead-studio.pro/product/c998bf3d-e332-438b-9416-d6147a509abb")</f>
      </c>
    </row>
    <row r="247" spans="1:10" customHeight="0">
      <c r="A247" s="2" t="inlineStr">
        <is>
          <t>Мониторы LCD</t>
        </is>
      </c>
      <c r="B247" s="2" t="inlineStr">
        <is>
          <t>SAMSUNG</t>
        </is>
      </c>
      <c r="C247" s="2" t="inlineStr">
        <is>
          <t>LS27B800PXIXCI</t>
        </is>
      </c>
      <c r="D247" s="2" t="inlineStr">
        <is>
          <t>Монитор Samsung 27" S27B800PXI, 16:9, IPS, UHD, 5ms, 350cd, 60Hz, HDMI, DP, USB, USB-C, LAN, HAS</t>
        </is>
      </c>
      <c r="E247" s="2">
        <v>40</v>
      </c>
      <c r="F247" s="2">
        <v>40</v>
      </c>
      <c r="H247" s="2">
        <v>433</v>
      </c>
      <c r="I247" s="2" t="inlineStr">
        <is>
          <t>$</t>
        </is>
      </c>
      <c r="J247" s="2">
        <f>HYPERLINK("https://app.astro.lead-studio.pro/product/0b14fdf7-63db-463a-b350-e39706b1386b")</f>
      </c>
    </row>
    <row r="248" spans="1:10" customHeight="0">
      <c r="A248" s="2" t="inlineStr">
        <is>
          <t>Мониторы LCD</t>
        </is>
      </c>
      <c r="B248" s="2" t="inlineStr">
        <is>
          <t>SAMSUNG</t>
        </is>
      </c>
      <c r="C248" s="2" t="inlineStr">
        <is>
          <t>LS27B800PXIXCI</t>
        </is>
      </c>
      <c r="D248" s="2" t="inlineStr">
        <is>
          <t>Монитор Samsung 27" S27B800PXI, 16:9, IPS, UHD, 5ms, 350cd, 60Hz, HDMI, DP, USB, USB-C, LAN, HAS</t>
        </is>
      </c>
      <c r="E248" s="2">
        <v>100</v>
      </c>
      <c r="F248" s="2">
        <v>100</v>
      </c>
      <c r="H248" s="2">
        <v>449</v>
      </c>
      <c r="I248" s="2" t="inlineStr">
        <is>
          <t>$</t>
        </is>
      </c>
      <c r="J248" s="2">
        <f>HYPERLINK("https://app.astro.lead-studio.pro/product/0b14fdf7-63db-463a-b350-e39706b1386b")</f>
      </c>
    </row>
    <row r="249" spans="1:10" customHeight="0">
      <c r="A249" s="2" t="inlineStr">
        <is>
          <t>Мониторы LCD</t>
        </is>
      </c>
      <c r="B249" s="2" t="inlineStr">
        <is>
          <t>SAMSUNG</t>
        </is>
      </c>
      <c r="C249" s="2" t="inlineStr">
        <is>
          <t>LS27D604UAIXCI</t>
        </is>
      </c>
      <c r="D249" s="2" t="inlineStr">
        <is>
          <t>Монитор Samsung 27" S27D604UAI, 16:9, IPS, QHD, 5ms, 350cd, 100Hz, HDMI, DP,USB, USB-C, LAN, HAS</t>
        </is>
      </c>
      <c r="E249" s="2">
        <v>100</v>
      </c>
      <c r="F249" s="2">
        <v>100</v>
      </c>
      <c r="H249" s="2">
        <v>368</v>
      </c>
      <c r="I249" s="2" t="inlineStr">
        <is>
          <t>$</t>
        </is>
      </c>
      <c r="J249" s="2">
        <f>HYPERLINK("https://app.astro.lead-studio.pro/product/6d25554e-7459-4f6b-84ae-b96e31af179b")</f>
      </c>
    </row>
    <row r="250" spans="1:10" customHeight="0">
      <c r="A250" s="2" t="inlineStr">
        <is>
          <t>Мониторы LCD</t>
        </is>
      </c>
      <c r="B250" s="2" t="inlineStr">
        <is>
          <t>SAMSUNG</t>
        </is>
      </c>
      <c r="C250" s="2" t="inlineStr">
        <is>
          <t>LS27D804UAIXCI</t>
        </is>
      </c>
      <c r="D250" s="2" t="inlineStr">
        <is>
          <t>Монитор Samsung 27" S27D804UAI, 16:9, IPS, UHD, 5ms, 350cd, 60Hz, HDMI, DP, USB, USB-C, LAN, HAS</t>
        </is>
      </c>
      <c r="E250" s="2">
        <v>100</v>
      </c>
      <c r="F250" s="2">
        <v>100</v>
      </c>
      <c r="H250" s="2">
        <v>445</v>
      </c>
      <c r="I250" s="2" t="inlineStr">
        <is>
          <t>$</t>
        </is>
      </c>
      <c r="J250" s="2">
        <f>HYPERLINK("https://app.astro.lead-studio.pro/product/39a2d28a-3957-4dc3-888a-43102c30cb54")</f>
      </c>
    </row>
    <row r="251" spans="1:10" customHeight="0">
      <c r="A251" s="2" t="inlineStr">
        <is>
          <t>Мониторы LCD</t>
        </is>
      </c>
      <c r="B251" s="2" t="inlineStr">
        <is>
          <t>SAMSUNG</t>
        </is>
      </c>
      <c r="C251" s="2" t="inlineStr">
        <is>
          <t>LS32B800PXIXCI</t>
        </is>
      </c>
      <c r="D251" s="2" t="inlineStr">
        <is>
          <t>Монитор Samsung 32" S32B800PXI, 16:9, IPS, UHD, 5ms, 350cd, 60Hz, HDMI, DP, USB, USB-C, LAN, HAS</t>
        </is>
      </c>
      <c r="E251" s="2">
        <v>100</v>
      </c>
      <c r="F251" s="2">
        <v>100</v>
      </c>
      <c r="H251" s="2">
        <v>648</v>
      </c>
      <c r="I251" s="2" t="inlineStr">
        <is>
          <t>$</t>
        </is>
      </c>
      <c r="J251" s="2">
        <f>HYPERLINK("https://app.astro.lead-studio.pro/product/47ca6d57-116d-424b-a015-3902dea77402")</f>
      </c>
    </row>
    <row r="252" spans="1:10" customHeight="0">
      <c r="A252" s="2" t="inlineStr">
        <is>
          <t>Мониторы LCD</t>
        </is>
      </c>
      <c r="B252" s="2" t="inlineStr">
        <is>
          <t>SAMSUNG</t>
        </is>
      </c>
      <c r="C252" s="2" t="inlineStr">
        <is>
          <t>LS32D604UAIXCI</t>
        </is>
      </c>
      <c r="D252" s="2" t="inlineStr">
        <is>
          <t>Монитор Samsung 32" S32D604UAI 16:9, IPS, QHD, 5ms, 350cd, 100Hz, HDMI, DP, USB, USB-C, LAN, HAS</t>
        </is>
      </c>
      <c r="E252" s="2">
        <v>40</v>
      </c>
      <c r="F252" s="2">
        <v>40</v>
      </c>
      <c r="H252" s="2">
        <v>424</v>
      </c>
      <c r="I252" s="2" t="inlineStr">
        <is>
          <t>$</t>
        </is>
      </c>
      <c r="J252" s="2">
        <f>HYPERLINK("https://app.astro.lead-studio.pro/product/2410ece4-6593-43cd-ae07-a3d197de0269")</f>
      </c>
    </row>
    <row r="253" spans="1:10" customHeight="0">
      <c r="A253" s="2" t="inlineStr">
        <is>
          <t>Мониторы LCD</t>
        </is>
      </c>
      <c r="B253" s="2" t="inlineStr">
        <is>
          <t>SAMSUNG</t>
        </is>
      </c>
      <c r="C253" s="2" t="inlineStr">
        <is>
          <t>LS32D804UAIXCI</t>
        </is>
      </c>
      <c r="D253" s="2" t="inlineStr">
        <is>
          <t>Монитор Samsung 32" S32D804UAI, 16:9, VA, UHD, 5ms, 350cd, 60Hz, DP, HDMI, USB, USB-C, LAN, HAS</t>
        </is>
      </c>
      <c r="E253" s="2">
        <v>100</v>
      </c>
      <c r="F253" s="2">
        <v>100</v>
      </c>
      <c r="H253" s="2">
        <v>401</v>
      </c>
      <c r="I253" s="2" t="inlineStr">
        <is>
          <t>$</t>
        </is>
      </c>
      <c r="J253" s="2">
        <f>HYPERLINK("https://app.astro.lead-studio.pro/product/3b7c14b5-61bc-405b-906c-e7699cea48ca")</f>
      </c>
    </row>
    <row r="254" spans="1:10" customHeight="0">
      <c r="A254" s="2" t="inlineStr">
        <is>
          <t>Мониторы LCD</t>
        </is>
      </c>
      <c r="B254" s="2" t="inlineStr">
        <is>
          <t>SAMSUNG</t>
        </is>
      </c>
      <c r="C254" s="2" t="inlineStr">
        <is>
          <t>LS34C650UAIXCI</t>
        </is>
      </c>
      <c r="D254" s="2" t="inlineStr">
        <is>
          <t>Монитор Samsung 34 S34C650UAI 1000R, 21:9, VA, 4K, 5ms, 350cd, 100Hz, HDMI, DP, USB, USB-C, LAN, HAS</t>
        </is>
      </c>
      <c r="E254" s="2">
        <v>100</v>
      </c>
      <c r="F254" s="2">
        <v>100</v>
      </c>
      <c r="H254" s="2">
        <v>540</v>
      </c>
      <c r="I254" s="2" t="inlineStr">
        <is>
          <t>$</t>
        </is>
      </c>
      <c r="J254" s="2">
        <f>HYPERLINK("https://app.astro.lead-studio.pro/product/191c63ff-13c8-4b35-817b-6db4067addf4")</f>
      </c>
    </row>
    <row r="255" spans="1:10" customHeight="0">
      <c r="A255" s="2" t="inlineStr">
        <is>
          <t>Мониторы LCD</t>
        </is>
      </c>
      <c r="B255" s="2" t="inlineStr">
        <is>
          <t>SAMSUNG</t>
        </is>
      </c>
      <c r="C255" s="2" t="inlineStr">
        <is>
          <t>LS34C650VAIXCI</t>
        </is>
      </c>
      <c r="D255" s="2" t="inlineStr">
        <is>
          <t>Монитор Samsung 34 S34C650VAI 1000R, 21:9, VA, 4К, 350cd, 100Hz, HDMI, DP, USB, USB-C, LAN, CAM, HAS</t>
        </is>
      </c>
      <c r="E255" s="2">
        <v>40</v>
      </c>
      <c r="F255" s="2">
        <v>40</v>
      </c>
      <c r="H255" s="2">
        <v>647</v>
      </c>
      <c r="I255" s="2" t="inlineStr">
        <is>
          <t>$</t>
        </is>
      </c>
      <c r="J255" s="2">
        <f>HYPERLINK("https://app.astro.lead-studio.pro/product/abcba7a3-0f25-4a4e-82f8-a5978bc1a434")</f>
      </c>
    </row>
    <row r="256" spans="1:10" customHeight="0">
      <c r="A256" s="2" t="inlineStr">
        <is>
          <t>Мониторы LCD</t>
        </is>
      </c>
      <c r="B256" s="2" t="inlineStr">
        <is>
          <t>SAMSUNG</t>
        </is>
      </c>
      <c r="C256" s="2" t="inlineStr">
        <is>
          <t>LC34G55TWWIXCI</t>
        </is>
      </c>
      <c r="D256" s="2" t="inlineStr">
        <is>
          <t>Монитор Samsung 34" C34G55TWWI, 1000R, 21:9, VA, UHD, 1ms, 250cd, 165Hz, HDMI, DP</t>
        </is>
      </c>
      <c r="E256" s="2" t="inlineStr">
        <is>
          <t>4</t>
        </is>
      </c>
      <c r="F256" s="2" t="inlineStr">
        <is>
          <t>4</t>
        </is>
      </c>
      <c r="H256" s="2">
        <v>366</v>
      </c>
      <c r="I256" s="2" t="inlineStr">
        <is>
          <t>$</t>
        </is>
      </c>
      <c r="J256" s="2">
        <f>HYPERLINK("https://app.astro.lead-studio.pro/product/42ddf962-39ad-4eaa-9113-cf45e3bd74ab")</f>
      </c>
    </row>
    <row r="257" spans="1:10" customHeight="0">
      <c r="A257" s="2" t="inlineStr">
        <is>
          <t>Мониторы LCD</t>
        </is>
      </c>
      <c r="B257" s="2" t="inlineStr">
        <is>
          <t>SAMSUNG</t>
        </is>
      </c>
      <c r="C257" s="2" t="inlineStr">
        <is>
          <t>LS34C500GAIXCI</t>
        </is>
      </c>
      <c r="D257" s="2" t="inlineStr">
        <is>
          <t>Монитор Samsung 34" S34C500GAI, 21:9, VA, UHD, 5ms, 300cd, 100Hz, HDMI, DP</t>
        </is>
      </c>
      <c r="E257" s="2">
        <v>100</v>
      </c>
      <c r="F257" s="2">
        <v>100</v>
      </c>
      <c r="H257" s="2">
        <v>361</v>
      </c>
      <c r="I257" s="2" t="inlineStr">
        <is>
          <t>$</t>
        </is>
      </c>
      <c r="J257" s="2">
        <f>HYPERLINK("https://app.astro.lead-studio.pro/product/b1dc6971-4f82-47cf-ba63-bd8b34b2e4d9")</f>
      </c>
    </row>
    <row r="258" spans="1:10" customHeight="0">
      <c r="A258" s="2" t="inlineStr">
        <is>
          <t>Мониторы LCD</t>
        </is>
      </c>
      <c r="B258" s="2" t="inlineStr">
        <is>
          <t>SAMSUNG</t>
        </is>
      </c>
      <c r="C258" s="2" t="inlineStr">
        <is>
          <t>LS49C950UAIXCI</t>
        </is>
      </c>
      <c r="D258" s="2" t="inlineStr">
        <is>
          <t>Монитор Samsung 49 S49C950UAI 1000R, VA, 32:9, 5K, 5ms, 350cd, 120Hz, DP, HDMI, USB, USB-C, LAN, HAS</t>
        </is>
      </c>
      <c r="E258" s="2">
        <v>10</v>
      </c>
      <c r="F258" s="2">
        <v>10</v>
      </c>
      <c r="H258" s="2">
        <v>1144</v>
      </c>
      <c r="I258" s="2" t="inlineStr">
        <is>
          <t>$</t>
        </is>
      </c>
      <c r="J258" s="2">
        <f>HYPERLINK("https://app.astro.lead-studio.pro/product/90688a5b-7939-4b7f-82c0-88b562302062")</f>
      </c>
    </row>
    <row r="259" spans="1:10" customHeight="0">
      <c r="A259" s="2" t="inlineStr">
        <is>
          <t>Мониторы LCD</t>
        </is>
      </c>
      <c r="B259" s="2" t="inlineStr">
        <is>
          <t>XIAOMI</t>
        </is>
      </c>
      <c r="C259" s="2" t="inlineStr">
        <is>
          <t>ELA5585EU</t>
        </is>
      </c>
      <c r="D259" s="2" t="inlineStr">
        <is>
          <t>Монитор Xiaomi 27" G Pro 27i Mini LED, 16:9, IPS, QHD, 1ms, 1000cd, 180Hz, HDMI, DP, HAS</t>
        </is>
      </c>
      <c r="E259" s="2">
        <v>10</v>
      </c>
      <c r="F259" s="2">
        <v>10</v>
      </c>
      <c r="H259" s="2">
        <v>389</v>
      </c>
      <c r="I259" s="2" t="inlineStr">
        <is>
          <t>$</t>
        </is>
      </c>
      <c r="J259" s="2">
        <f>HYPERLINK("https://app.astro.lead-studio.pro/product/f3b370ed-169b-4386-9183-3c019b276897")</f>
      </c>
    </row>
    <row r="260" spans="1:10" customHeight="0">
      <c r="A260" s="2" t="inlineStr">
        <is>
          <t>МФУ</t>
        </is>
      </c>
      <c r="B260" s="2" t="inlineStr">
        <is>
          <t>CANON</t>
        </is>
      </c>
      <c r="C260" s="2" t="inlineStr">
        <is>
          <t>5161C006/16</t>
        </is>
      </c>
      <c r="D260" s="2" t="inlineStr">
        <is>
          <t>МФУ (принтер, сканер, копир, факс) MF455DW A4 DUPLEX 5161C006/16 CANON</t>
        </is>
      </c>
      <c r="E260" s="2">
        <v>10</v>
      </c>
      <c r="F260" s="2">
        <v>10</v>
      </c>
      <c r="H260" s="2">
        <v>544</v>
      </c>
      <c r="I260" s="2" t="inlineStr">
        <is>
          <t>$</t>
        </is>
      </c>
      <c r="J260" s="2">
        <f>HYPERLINK("https://app.astro.lead-studio.pro/product/088cf65f-3e9d-4ecb-b441-44a1eba83253")</f>
      </c>
    </row>
    <row r="261" spans="1:10" customHeight="0">
      <c r="A261" s="2" t="inlineStr">
        <is>
          <t>МФУ</t>
        </is>
      </c>
      <c r="B261" s="2" t="inlineStr">
        <is>
          <t>CANON</t>
        </is>
      </c>
      <c r="C261" s="2" t="inlineStr">
        <is>
          <t>1418C121/1418C105/1418C030</t>
        </is>
      </c>
      <c r="D261" s="2" t="inlineStr">
        <is>
          <t>МФУ лазерный Canon i-SENSYS MF237w (1418C105) A4 WiFi, черный</t>
        </is>
      </c>
      <c r="E261" s="2">
        <v>40</v>
      </c>
      <c r="F261" s="2">
        <v>40</v>
      </c>
      <c r="H261" s="2">
        <v>424</v>
      </c>
      <c r="I261" s="2" t="inlineStr">
        <is>
          <t>$</t>
        </is>
      </c>
      <c r="J261" s="2">
        <f>HYPERLINK("https://app.astro.lead-studio.pro/product/4e9cb85f-b873-4740-9d62-de62430100c3")</f>
      </c>
    </row>
    <row r="262" spans="1:10" customHeight="0">
      <c r="A262" s="2" t="inlineStr">
        <is>
          <t>МФУ</t>
        </is>
      </c>
      <c r="B262" s="2" t="inlineStr">
        <is>
          <t>CANON</t>
        </is>
      </c>
      <c r="C262" s="2" t="inlineStr">
        <is>
          <t>5161C007</t>
        </is>
      </c>
      <c r="D262" s="2" t="inlineStr">
        <is>
          <t>МФУ лазерный Canon i-Sensys MF453dw (5161C007) A4 Duplex WiFi белый</t>
        </is>
      </c>
      <c r="E262" s="2">
        <v>40</v>
      </c>
      <c r="F262" s="2">
        <v>40</v>
      </c>
      <c r="H262" s="2">
        <v>509</v>
      </c>
      <c r="I262" s="2" t="inlineStr">
        <is>
          <t>$</t>
        </is>
      </c>
      <c r="J262" s="2">
        <f>HYPERLINK("https://app.astro.lead-studio.pro/product/f3039e41-abeb-442d-bd44-7074ed15b017")</f>
      </c>
    </row>
    <row r="263" spans="1:10" customHeight="0">
      <c r="A263" s="2" t="inlineStr">
        <is>
          <t>МФУ</t>
        </is>
      </c>
      <c r="B263" s="2" t="inlineStr">
        <is>
          <t>CANON</t>
        </is>
      </c>
      <c r="C263" s="2" t="inlineStr">
        <is>
          <t>5951C007/5951C023</t>
        </is>
      </c>
      <c r="D263" s="2" t="inlineStr">
        <is>
          <t>МФУ лазерный Canon i-Sensys MF465dw (5951C007) A4 Duplex WiFi белый</t>
        </is>
      </c>
      <c r="E263" s="2" t="inlineStr">
        <is>
          <t>9</t>
        </is>
      </c>
      <c r="F263" s="2" t="inlineStr">
        <is>
          <t>9</t>
        </is>
      </c>
      <c r="H263" s="2">
        <v>499</v>
      </c>
      <c r="I263" s="2" t="inlineStr">
        <is>
          <t>$</t>
        </is>
      </c>
      <c r="J263" s="2">
        <f>HYPERLINK("https://app.astro.lead-studio.pro/product/db064355-c34e-40cf-845f-f87345773c82")</f>
      </c>
    </row>
    <row r="264" spans="1:10" customHeight="0">
      <c r="A264" s="2" t="inlineStr">
        <is>
          <t>МФУ</t>
        </is>
      </c>
      <c r="B264" s="2" t="inlineStr">
        <is>
          <t>HP</t>
        </is>
      </c>
      <c r="C264" s="2" t="inlineStr">
        <is>
          <t>3QA55A</t>
        </is>
      </c>
      <c r="D264" s="2" t="inlineStr">
        <is>
          <t>МФУ лазерный HP Color LaserJet Pro M480f (3QA55A) A4 Duplex Net белый/черный</t>
        </is>
      </c>
      <c r="E264" s="2">
        <v>10</v>
      </c>
      <c r="F264" s="2">
        <v>10</v>
      </c>
      <c r="H264" s="2">
        <v>663</v>
      </c>
      <c r="I264" s="2" t="inlineStr">
        <is>
          <t>$</t>
        </is>
      </c>
      <c r="J264" s="2">
        <f>HYPERLINK("https://app.astro.lead-studio.pro/product/f4a97eca-8226-4706-8374-83a648af484e")</f>
      </c>
    </row>
    <row r="265" spans="1:10" customHeight="0">
      <c r="A265" s="2" t="inlineStr">
        <is>
          <t>МФУ</t>
        </is>
      </c>
      <c r="B265" s="2" t="inlineStr">
        <is>
          <t>HP</t>
        </is>
      </c>
      <c r="C265" s="2" t="inlineStr">
        <is>
          <t>7KW54A</t>
        </is>
      </c>
      <c r="D265" s="2" t="inlineStr">
        <is>
          <t>МФУ лазерный HP Color LaserJet Pro MFP M182n (7KW54A) A4 Net белый</t>
        </is>
      </c>
      <c r="E265" s="2" t="inlineStr">
        <is>
          <t>5</t>
        </is>
      </c>
      <c r="F265" s="2" t="inlineStr">
        <is>
          <t>5</t>
        </is>
      </c>
      <c r="H265" s="2">
        <v>362</v>
      </c>
      <c r="I265" s="2" t="inlineStr">
        <is>
          <t>$</t>
        </is>
      </c>
      <c r="J265" s="2">
        <f>HYPERLINK("https://app.astro.lead-studio.pro/product/4e57304d-94f5-48bc-8343-83fb17df7b78")</f>
      </c>
    </row>
    <row r="266" spans="1:10" customHeight="0">
      <c r="A266" s="2" t="inlineStr">
        <is>
          <t>МФУ</t>
        </is>
      </c>
      <c r="B266" s="2" t="inlineStr">
        <is>
          <t>HP</t>
        </is>
      </c>
      <c r="C266" s="2" t="inlineStr">
        <is>
          <t>4ZB97A</t>
        </is>
      </c>
      <c r="D266" s="2" t="inlineStr">
        <is>
          <t>МФУ лазерный HP LaserJet 179fnw (4ZB97A) A4 WiFi белый/серый</t>
        </is>
      </c>
      <c r="E266" s="2">
        <v>100</v>
      </c>
      <c r="F266" s="2">
        <v>100</v>
      </c>
      <c r="H266" s="2">
        <v>368</v>
      </c>
      <c r="I266" s="2" t="inlineStr">
        <is>
          <t>$</t>
        </is>
      </c>
      <c r="J266" s="2">
        <f>HYPERLINK("https://app.astro.lead-studio.pro/product/3654b2c5-c20c-40c0-ba4f-bb08d63dd9db")</f>
      </c>
    </row>
    <row r="267" spans="1:10" customHeight="0">
      <c r="A267" s="2" t="inlineStr">
        <is>
          <t>МФУ</t>
        </is>
      </c>
      <c r="B267" s="2" t="inlineStr">
        <is>
          <t>HP</t>
        </is>
      </c>
      <c r="C267" s="2" t="inlineStr">
        <is>
          <t>2Z627A</t>
        </is>
      </c>
      <c r="D267" s="2" t="inlineStr">
        <is>
          <t>МФУ лазерный HP LaserJet Pro 4103dw (2Z627A) A4 Duplex Net WiFi белый</t>
        </is>
      </c>
      <c r="E267" s="2">
        <v>100</v>
      </c>
      <c r="F267" s="2">
        <v>100</v>
      </c>
      <c r="H267" s="2">
        <v>457</v>
      </c>
      <c r="I267" s="2" t="inlineStr">
        <is>
          <t>$</t>
        </is>
      </c>
      <c r="J267" s="2">
        <f>HYPERLINK("https://app.astro.lead-studio.pro/product/ec633904-ff13-499f-b3cc-2f969323535f")</f>
      </c>
    </row>
    <row r="268" spans="1:10" customHeight="0">
      <c r="A268" s="2" t="inlineStr">
        <is>
          <t>МФУ</t>
        </is>
      </c>
      <c r="B268" s="2" t="inlineStr">
        <is>
          <t>HP</t>
        </is>
      </c>
      <c r="C268" s="2" t="inlineStr">
        <is>
          <t>2Z628A</t>
        </is>
      </c>
      <c r="D268" s="2" t="inlineStr">
        <is>
          <t>МФУ лазерный HP LaserJet Pro 4103fdn (2Z628A) A4 Duplex Net белый</t>
        </is>
      </c>
      <c r="E268" s="2">
        <v>100</v>
      </c>
      <c r="F268" s="2">
        <v>100</v>
      </c>
      <c r="H268" s="2">
        <v>471</v>
      </c>
      <c r="I268" s="2" t="inlineStr">
        <is>
          <t>$</t>
        </is>
      </c>
      <c r="J268" s="2">
        <f>HYPERLINK("https://app.astro.lead-studio.pro/product/d2d3c727-5286-4d30-8af9-03bd16df94bb")</f>
      </c>
    </row>
    <row r="269" spans="1:10" customHeight="0">
      <c r="A269" s="2" t="inlineStr">
        <is>
          <t>МФУ</t>
        </is>
      </c>
      <c r="B269" s="2" t="inlineStr">
        <is>
          <t>HP</t>
        </is>
      </c>
      <c r="C269" s="2" t="inlineStr">
        <is>
          <t>2Z629A</t>
        </is>
      </c>
      <c r="D269" s="2" t="inlineStr">
        <is>
          <t>МФУ лазерный HP LaserJet Pro 4103fdw (2Z629A) A4 Duplex Net WiFi белый</t>
        </is>
      </c>
      <c r="E269" s="2">
        <v>10</v>
      </c>
      <c r="F269" s="2">
        <v>10</v>
      </c>
      <c r="H269" s="2">
        <v>485</v>
      </c>
      <c r="I269" s="2" t="inlineStr">
        <is>
          <t>$</t>
        </is>
      </c>
      <c r="J269" s="2">
        <f>HYPERLINK("https://app.astro.lead-studio.pro/product/d63afd24-ad83-48d8-950b-4f125718dd85")</f>
      </c>
    </row>
    <row r="270" spans="1:10" customHeight="0">
      <c r="A270" s="2" t="inlineStr">
        <is>
          <t>МФУ</t>
        </is>
      </c>
      <c r="B270" s="2" t="inlineStr">
        <is>
          <t>KYOCERA</t>
        </is>
      </c>
      <c r="C270" s="2" t="inlineStr">
        <is>
          <t>1102R73NL0/L1</t>
        </is>
      </c>
      <c r="D270" s="2" t="inlineStr">
        <is>
          <t>МФУ лазерный Kyocera Color M5526cdw/a (1102R73NL0/1102R73NL1) A4 Duplex Net WiFi белый </t>
        </is>
      </c>
      <c r="E270" s="2" t="inlineStr">
        <is>
          <t>3</t>
        </is>
      </c>
      <c r="F270" s="2" t="inlineStr">
        <is>
          <t>3</t>
        </is>
      </c>
      <c r="H270" s="2">
        <v>665</v>
      </c>
      <c r="I270" s="2" t="inlineStr">
        <is>
          <t>$</t>
        </is>
      </c>
      <c r="J270" s="2">
        <f>HYPERLINK("https://app.astro.lead-studio.pro/product/20b81b75-70d5-476d-b0bc-8f87766a69d0")</f>
      </c>
    </row>
    <row r="271" spans="1:10" customHeight="0">
      <c r="A271" s="2" t="inlineStr">
        <is>
          <t>МФУ</t>
        </is>
      </c>
      <c r="B271" s="2" t="inlineStr">
        <is>
          <t>KYOCERA</t>
        </is>
      </c>
      <c r="C271" s="2" t="inlineStr">
        <is>
          <t>1102S33NL0</t>
        </is>
      </c>
      <c r="D271" s="2" t="inlineStr">
        <is>
          <t>МФУ лазерный Kyocera Ecosys M2040DN (1102S33NL0) A4 Duplex белый</t>
        </is>
      </c>
      <c r="E271" s="2">
        <v>40</v>
      </c>
      <c r="F271" s="2">
        <v>40</v>
      </c>
      <c r="H271" s="2">
        <v>895</v>
      </c>
      <c r="I271" s="2" t="inlineStr">
        <is>
          <t>$</t>
        </is>
      </c>
      <c r="J271" s="2">
        <f>HYPERLINK("https://app.astro.lead-studio.pro/product/d0770eb4-d3af-4fe2-8361-23a0494aa3f1")</f>
      </c>
    </row>
    <row r="272" spans="1:10" customHeight="0">
      <c r="A272" s="2" t="inlineStr">
        <is>
          <t>МФУ</t>
        </is>
      </c>
      <c r="B272" s="2" t="inlineStr">
        <is>
          <t>KYOCERA</t>
        </is>
      </c>
      <c r="C272" s="2" t="inlineStr">
        <is>
          <t>1102S03NL0/L1</t>
        </is>
      </c>
      <c r="D272" s="2" t="inlineStr">
        <is>
          <t>МФУ лазерный Kyocera Ecosys M2135DN (1102S03NL0/L1) A4 Duplex белый</t>
        </is>
      </c>
      <c r="E272" s="2">
        <v>10</v>
      </c>
      <c r="F272" s="2">
        <v>10</v>
      </c>
      <c r="H272" s="2">
        <v>565</v>
      </c>
      <c r="I272" s="2" t="inlineStr">
        <is>
          <t>$</t>
        </is>
      </c>
      <c r="J272" s="2">
        <f>HYPERLINK("https://app.astro.lead-studio.pro/product/5532a84b-0d53-43da-9bf1-c6b9286381fa")</f>
      </c>
    </row>
    <row r="273" spans="1:10" customHeight="0">
      <c r="A273" s="2" t="inlineStr">
        <is>
          <t>МФУ</t>
        </is>
      </c>
      <c r="B273" s="2" t="inlineStr">
        <is>
          <t>KYOCERA</t>
        </is>
      </c>
      <c r="C273" s="2" t="inlineStr">
        <is>
          <t>1102S13NL0</t>
        </is>
      </c>
      <c r="D273" s="2" t="inlineStr">
        <is>
          <t>МФУ лазерный Kyocera Ecosys M2635DN (1102S13NL0) A4 Duplex Net белый</t>
        </is>
      </c>
      <c r="E273" s="2" t="inlineStr">
        <is>
          <t>1</t>
        </is>
      </c>
      <c r="F273" s="2" t="inlineStr">
        <is>
          <t>1</t>
        </is>
      </c>
      <c r="H273" s="2">
        <v>614</v>
      </c>
      <c r="I273" s="2" t="inlineStr">
        <is>
          <t>$</t>
        </is>
      </c>
      <c r="J273" s="2">
        <f>HYPERLINK("https://app.astro.lead-studio.pro/product/f303870f-5a4c-4f34-9644-2926cc3c54eb")</f>
      </c>
    </row>
    <row r="274" spans="1:10" customHeight="0">
      <c r="A274" s="2" t="inlineStr">
        <is>
          <t>МФУ</t>
        </is>
      </c>
      <c r="B274" s="2" t="inlineStr">
        <is>
          <t>KYOCERA</t>
        </is>
      </c>
      <c r="C274" s="2" t="inlineStr">
        <is>
          <t>1102P23NL0</t>
        </is>
      </c>
      <c r="D274" s="2" t="inlineStr">
        <is>
          <t>МФУ лазерный Kyocera Ecosys M4125idn (1102P23NL0/NL1) A3 Duplex Net белый</t>
        </is>
      </c>
      <c r="E274" s="2" t="inlineStr">
        <is>
          <t>8</t>
        </is>
      </c>
      <c r="F274" s="2" t="inlineStr">
        <is>
          <t>8</t>
        </is>
      </c>
      <c r="H274" s="2">
        <v>1586</v>
      </c>
      <c r="I274" s="2" t="inlineStr">
        <is>
          <t>$</t>
        </is>
      </c>
      <c r="J274" s="2">
        <f>HYPERLINK("https://app.astro.lead-studio.pro/product/f40cb6e8-d830-481b-9826-53ddb435fce4")</f>
      </c>
    </row>
    <row r="275" spans="1:10" customHeight="0">
      <c r="A275" s="2" t="inlineStr">
        <is>
          <t>МФУ</t>
        </is>
      </c>
      <c r="B275" s="2" t="inlineStr">
        <is>
          <t>KYOCERA</t>
        </is>
      </c>
      <c r="C275" s="2" t="inlineStr">
        <is>
          <t>110C1B3NL0</t>
        </is>
      </c>
      <c r="D275" s="2" t="inlineStr">
        <is>
          <t>МФУ лазерный KYOCERA ECOSYS MA4000fx(110C1B3NL0) монохромное A4</t>
        </is>
      </c>
      <c r="E275" s="2">
        <v>10</v>
      </c>
      <c r="F275" s="2">
        <v>10</v>
      </c>
      <c r="H275" s="2">
        <v>957</v>
      </c>
      <c r="I275" s="2" t="inlineStr">
        <is>
          <t>$</t>
        </is>
      </c>
      <c r="J275" s="2">
        <f>HYPERLINK("https://app.astro.lead-studio.pro/product/6c93a28a-c09b-4473-8c44-2d6847486b7b")</f>
      </c>
    </row>
    <row r="276" spans="1:10" customHeight="0">
      <c r="A276" s="2" t="inlineStr">
        <is>
          <t>МФУ</t>
        </is>
      </c>
      <c r="B276" s="2" t="inlineStr">
        <is>
          <t>KYOCERA</t>
        </is>
      </c>
      <c r="C276" s="2" t="inlineStr">
        <is>
          <t>110C1D3NL0</t>
        </is>
      </c>
      <c r="D276" s="2" t="inlineStr">
        <is>
          <t>МФУ лазерный Kyocera Ecosys MA4000wifx (110C1D3NL0) A4 Duplex Wifi белый</t>
        </is>
      </c>
      <c r="E276" s="2">
        <v>10</v>
      </c>
      <c r="F276" s="2">
        <v>10</v>
      </c>
      <c r="H276" s="2">
        <v>1037</v>
      </c>
      <c r="I276" s="2" t="inlineStr">
        <is>
          <t>$</t>
        </is>
      </c>
      <c r="J276" s="2">
        <f>HYPERLINK("https://app.astro.lead-studio.pro/product/67b0e282-1d0b-4104-ab78-ee5d0dbccf8b")</f>
      </c>
    </row>
    <row r="277" spans="1:10" customHeight="0">
      <c r="A277" s="2" t="inlineStr">
        <is>
          <t>МФУ</t>
        </is>
      </c>
      <c r="B277" s="2" t="inlineStr">
        <is>
          <t>KYOCERA</t>
        </is>
      </c>
      <c r="C277" s="2" t="inlineStr">
        <is>
          <t>110C123NL0</t>
        </is>
      </c>
      <c r="D277" s="2" t="inlineStr">
        <is>
          <t>МФУ лазерный Kyocera Ecosys MA4500fx (110C123NL0) A4 USD Duplex белый</t>
        </is>
      </c>
      <c r="E277" s="2">
        <v>10</v>
      </c>
      <c r="F277" s="2">
        <v>10</v>
      </c>
      <c r="H277" s="2">
        <v>874</v>
      </c>
      <c r="I277" s="2" t="inlineStr">
        <is>
          <t>$</t>
        </is>
      </c>
      <c r="J277" s="2">
        <f>HYPERLINK("https://app.astro.lead-studio.pro/product/53b5091c-ea36-4e85-aaf0-f51fb8c3f1be")</f>
      </c>
    </row>
    <row r="278" spans="1:10" customHeight="0">
      <c r="A278" s="2" t="inlineStr">
        <is>
          <t>МФУ</t>
        </is>
      </c>
      <c r="B278" s="2" t="inlineStr">
        <is>
          <t>KYOCERA</t>
        </is>
      </c>
      <c r="C278" s="2" t="inlineStr">
        <is>
          <t>110C133NL0</t>
        </is>
      </c>
      <c r="D278" s="2" t="inlineStr">
        <is>
          <t>МФУ лазерный Kyocera Ecosys MA4500x (110C133NL0) A4 Duplex белый</t>
        </is>
      </c>
      <c r="E278" s="2" t="inlineStr">
        <is>
          <t>3</t>
        </is>
      </c>
      <c r="F278" s="2" t="inlineStr">
        <is>
          <t>3</t>
        </is>
      </c>
      <c r="H278" s="2">
        <v>858</v>
      </c>
      <c r="I278" s="2" t="inlineStr">
        <is>
          <t>$</t>
        </is>
      </c>
      <c r="J278" s="2">
        <f>HYPERLINK("https://app.astro.lead-studio.pro/product/8817647e-e839-47ae-8c1e-ec087121e9e3")</f>
      </c>
    </row>
    <row r="279" spans="1:10" customHeight="0">
      <c r="A279" s="2" t="inlineStr">
        <is>
          <t>Хабы, Разветвители</t>
        </is>
      </c>
      <c r="B279" s="2" t="inlineStr">
        <is>
          <t>HUAWEI</t>
        </is>
      </c>
      <c r="C279" s="2" t="inlineStr">
        <is>
          <t>03022PFJ</t>
        </is>
      </c>
      <c r="D279" s="2" t="inlineStr">
        <is>
          <t>Модуль расширения 4SFF8644 HUAWEI</t>
        </is>
      </c>
      <c r="E279" s="2" t="inlineStr">
        <is>
          <t>2</t>
        </is>
      </c>
      <c r="F279" s="2" t="inlineStr">
        <is>
          <t>2</t>
        </is>
      </c>
      <c r="H279" s="2">
        <v>2965</v>
      </c>
      <c r="I279" s="2" t="inlineStr">
        <is>
          <t>$</t>
        </is>
      </c>
      <c r="J279" s="2">
        <f>HYPERLINK("https://app.astro.lead-studio.pro/product/0b455eec-0c65-4a1d-b15f-0a60fd3875e9")</f>
      </c>
    </row>
    <row r="280" spans="1:10" customHeight="0">
      <c r="A280" s="2" t="inlineStr">
        <is>
          <t>Широкоформатные мониторы</t>
        </is>
      </c>
      <c r="B280" s="2" t="inlineStr">
        <is>
          <t>HIKVISION</t>
        </is>
      </c>
      <c r="C280" s="2" t="inlineStr">
        <is>
          <t>DS-D5065UC-C</t>
        </is>
      </c>
      <c r="D280" s="2" t="inlineStr">
        <is>
          <t>LCD-экран 65" 4K DS-D5065UC-C HIKVISION</t>
        </is>
      </c>
      <c r="E280" s="2">
        <v>10</v>
      </c>
      <c r="F280" s="2">
        <v>10</v>
      </c>
      <c r="H280" s="2">
        <v>2180</v>
      </c>
      <c r="I280" s="2" t="inlineStr">
        <is>
          <t>$</t>
        </is>
      </c>
      <c r="J280" s="2">
        <f>HYPERLINK("https://app.astro.lead-studio.pro/product/df09382d-8a70-4df8-ae82-6f88e2db7aee")</f>
      </c>
    </row>
    <row r="281" spans="1:10" customHeight="0">
      <c r="A281" s="2" t="inlineStr">
        <is>
          <t>Широкоформатные мониторы</t>
        </is>
      </c>
      <c r="B281" s="2" t="inlineStr">
        <is>
          <t>HIKVISION</t>
        </is>
      </c>
      <c r="C281" s="2" t="inlineStr">
        <is>
          <t>DS-D2055LE-G</t>
        </is>
      </c>
      <c r="D281" s="2" t="inlineStr">
        <is>
          <t>LCD-экран DS-D2055LE-G HIKVISION</t>
        </is>
      </c>
      <c r="E281" s="2" t="inlineStr">
        <is>
          <t>3</t>
        </is>
      </c>
      <c r="F281" s="2" t="inlineStr">
        <is>
          <t>3</t>
        </is>
      </c>
      <c r="H281" s="2">
        <v>3764</v>
      </c>
      <c r="I281" s="2" t="inlineStr">
        <is>
          <t>$</t>
        </is>
      </c>
      <c r="J281" s="2">
        <f>HYPERLINK("https://app.astro.lead-studio.pro/product/434e2ad6-bf27-422a-ad0a-f2b28065725b")</f>
      </c>
    </row>
    <row r="282" spans="1:10" customHeight="0">
      <c r="A282" s="2" t="inlineStr">
        <is>
          <t>Широкоформатные мониторы</t>
        </is>
      </c>
      <c r="B282" s="2" t="inlineStr">
        <is>
          <t>HIKVISION</t>
        </is>
      </c>
      <c r="C282" s="2" t="inlineStr">
        <is>
          <t>DS-D2055LR-G</t>
        </is>
      </c>
      <c r="D282" s="2" t="inlineStr">
        <is>
          <t>LCD-экран P2.5 DS-D2055LR-G HIKVISION</t>
        </is>
      </c>
      <c r="E282" s="2">
        <v>40</v>
      </c>
      <c r="F282" s="2">
        <v>40</v>
      </c>
      <c r="H282" s="2">
        <v>5069</v>
      </c>
      <c r="I282" s="2" t="inlineStr">
        <is>
          <t>$</t>
        </is>
      </c>
      <c r="J282" s="2">
        <f>HYPERLINK("https://app.astro.lead-studio.pro/product/0ca0a81d-5c5d-4bbc-8150-209e50f34a57")</f>
      </c>
    </row>
    <row r="283" spans="1:10" customHeight="0">
      <c r="A283" s="2" t="inlineStr">
        <is>
          <t>Широкоформатные мониторы</t>
        </is>
      </c>
      <c r="B283" s="2" t="inlineStr">
        <is>
          <t>HIKVISION</t>
        </is>
      </c>
      <c r="C283" s="2" t="inlineStr">
        <is>
          <t>DS-D2055LU-Y</t>
        </is>
      </c>
      <c r="D283" s="2" t="inlineStr">
        <is>
          <t>LCD-экран P2.5 DS-D2055LU-Y HIKVISION</t>
        </is>
      </c>
      <c r="E283" s="2" t="inlineStr">
        <is>
          <t>5</t>
        </is>
      </c>
      <c r="F283" s="2" t="inlineStr">
        <is>
          <t>5</t>
        </is>
      </c>
      <c r="H283" s="2">
        <v>2347</v>
      </c>
      <c r="I283" s="2" t="inlineStr">
        <is>
          <t>$</t>
        </is>
      </c>
      <c r="J283" s="2">
        <f>HYPERLINK("https://app.astro.lead-studio.pro/product/425539f9-a718-433d-8679-c02a140a5547")</f>
      </c>
    </row>
    <row r="284" spans="1:10" customHeight="0">
      <c r="A284" s="2" t="inlineStr">
        <is>
          <t>Широкоформатные мониторы</t>
        </is>
      </c>
      <c r="B284" s="2" t="inlineStr">
        <is>
          <t>HIKVISION</t>
        </is>
      </c>
      <c r="C284" s="2" t="inlineStr">
        <is>
          <t>DS-D4212FI-CBFC</t>
        </is>
      </c>
      <c r="D284" s="2" t="inlineStr">
        <is>
          <t>LED-экран DS-D4212FI-CBFC HIKVISION</t>
        </is>
      </c>
      <c r="E284" s="2" t="inlineStr">
        <is>
          <t>4</t>
        </is>
      </c>
      <c r="F284" s="2" t="inlineStr">
        <is>
          <t>4</t>
        </is>
      </c>
      <c r="H284" s="2">
        <v>8380</v>
      </c>
      <c r="I284" s="2" t="inlineStr">
        <is>
          <t>$</t>
        </is>
      </c>
      <c r="J284" s="2">
        <f>HYPERLINK("https://app.astro.lead-studio.pro/product/c5e67f97-686f-475e-a93a-3617413865bf")</f>
      </c>
    </row>
    <row r="285" spans="1:10" customHeight="0">
      <c r="A285" s="2" t="inlineStr">
        <is>
          <t>Широкоформатные мониторы</t>
        </is>
      </c>
      <c r="B285" s="2" t="inlineStr">
        <is>
          <t>HIKVISION</t>
        </is>
      </c>
      <c r="C285" s="2" t="inlineStr">
        <is>
          <t>DS-D4215FI-CBFC</t>
        </is>
      </c>
      <c r="D285" s="2" t="inlineStr">
        <is>
          <t>LED-экран DS-D4215FI-CBFC HIKVISION</t>
        </is>
      </c>
      <c r="E285" s="2" t="inlineStr">
        <is>
          <t>4</t>
        </is>
      </c>
      <c r="F285" s="2" t="inlineStr">
        <is>
          <t>4</t>
        </is>
      </c>
      <c r="H285" s="2">
        <v>5946</v>
      </c>
      <c r="I285" s="2" t="inlineStr">
        <is>
          <t>$</t>
        </is>
      </c>
      <c r="J285" s="2">
        <f>HYPERLINK("https://app.astro.lead-studio.pro/product/ea98dd0c-92e7-4ecc-966f-7cf8e150f86d")</f>
      </c>
    </row>
    <row r="286" spans="1:10" customHeight="0">
      <c r="A286" s="2" t="inlineStr">
        <is>
          <t>Широкоформатные мониторы</t>
        </is>
      </c>
      <c r="B286" s="2" t="inlineStr">
        <is>
          <t>HIKVISION</t>
        </is>
      </c>
      <c r="C286" s="2" t="inlineStr">
        <is>
          <t>DS-D4425FI-CKBH</t>
        </is>
      </c>
      <c r="D286" s="2" t="inlineStr">
        <is>
          <t>LED-экран DS-D4425FI-CKBH HIKVISION</t>
        </is>
      </c>
      <c r="E286" s="2">
        <v>10</v>
      </c>
      <c r="F286" s="2">
        <v>10</v>
      </c>
      <c r="H286" s="2">
        <v>858</v>
      </c>
      <c r="I286" s="2" t="inlineStr">
        <is>
          <t>$</t>
        </is>
      </c>
      <c r="J286" s="2">
        <f>HYPERLINK("https://app.astro.lead-studio.pro/product/ecae1c5a-29c7-4dd9-b0f8-bb0c9218d3f2")</f>
      </c>
    </row>
    <row r="287" spans="1:10" customHeight="0">
      <c r="A287" s="2" t="inlineStr">
        <is>
          <t>Широкоформатные мониторы</t>
        </is>
      </c>
      <c r="B287" s="2" t="inlineStr">
        <is>
          <t>HIKVISION</t>
        </is>
      </c>
      <c r="C287" s="2" t="inlineStr">
        <is>
          <t>DS-D4215FI-CWF</t>
        </is>
      </c>
      <c r="D287" s="2" t="inlineStr">
        <is>
          <t>LED-экран P1.56 DS-D4215FI-CWF HIKVISION</t>
        </is>
      </c>
      <c r="E287" s="2" t="inlineStr">
        <is>
          <t>6</t>
        </is>
      </c>
      <c r="F287" s="2" t="inlineStr">
        <is>
          <t>6</t>
        </is>
      </c>
      <c r="H287" s="2">
        <v>1459</v>
      </c>
      <c r="I287" s="2" t="inlineStr">
        <is>
          <t>$</t>
        </is>
      </c>
      <c r="J287" s="2">
        <f>HYPERLINK("https://app.astro.lead-studio.pro/product/14e80be1-aff4-4e25-b054-978d166627d4")</f>
      </c>
    </row>
    <row r="288" spans="1:10" customHeight="0">
      <c r="A288" s="2" t="inlineStr">
        <is>
          <t>Широкоформатные мониторы</t>
        </is>
      </c>
      <c r="B288" s="2" t="inlineStr">
        <is>
          <t>HIKVISION</t>
        </is>
      </c>
      <c r="C288" s="2" t="inlineStr">
        <is>
          <t>DS-D4425FI-CAF</t>
        </is>
      </c>
      <c r="D288" s="2" t="inlineStr">
        <is>
          <t>LED-экран P2.5 DS-D4425FI-CAF HIKVISION</t>
        </is>
      </c>
      <c r="E288" s="2">
        <v>100</v>
      </c>
      <c r="F288" s="2">
        <v>100</v>
      </c>
      <c r="H288" s="2">
        <v>1239</v>
      </c>
      <c r="I288" s="2" t="inlineStr">
        <is>
          <t>$</t>
        </is>
      </c>
      <c r="J288" s="2">
        <f>HYPERLINK("https://app.astro.lead-studio.pro/product/f2184652-a291-44a9-8925-f27d2f10d5be")</f>
      </c>
    </row>
    <row r="289" spans="1:10" customHeight="0">
      <c r="A289" s="2" t="inlineStr">
        <is>
          <t>Широкоформатные мониторы</t>
        </is>
      </c>
      <c r="B289" s="2" t="inlineStr">
        <is>
          <t>HIKVISION</t>
        </is>
      </c>
      <c r="C289" s="2" t="inlineStr">
        <is>
          <t>DS-D4425FI-CKF</t>
        </is>
      </c>
      <c r="D289" s="2" t="inlineStr">
        <is>
          <t>LED-экран P2.5 DS-D4425FI-CKF HIKVISION</t>
        </is>
      </c>
      <c r="E289" s="2">
        <v>40</v>
      </c>
      <c r="F289" s="2">
        <v>40</v>
      </c>
      <c r="H289" s="2">
        <v>838</v>
      </c>
      <c r="I289" s="2" t="inlineStr">
        <is>
          <t>$</t>
        </is>
      </c>
      <c r="J289" s="2">
        <f>HYPERLINK("https://app.astro.lead-studio.pro/product/92a5b30f-f419-4ab9-88d7-0b22a03255aa")</f>
      </c>
    </row>
    <row r="290" spans="1:10" customHeight="0">
      <c r="A290" s="2" t="inlineStr">
        <is>
          <t>Широкоформатные мониторы</t>
        </is>
      </c>
      <c r="B290" s="2" t="inlineStr">
        <is>
          <t>LG</t>
        </is>
      </c>
      <c r="C290" s="2" t="inlineStr">
        <is>
          <t>55CT5WJ-B.ARUZ</t>
        </is>
      </c>
      <c r="D290" s="2" t="inlineStr">
        <is>
          <t>Дисплеи LCD 55" 4K 55CT5WJ-B.ARUZ LG</t>
        </is>
      </c>
      <c r="E290" s="2">
        <v>40</v>
      </c>
      <c r="F290" s="2">
        <v>40</v>
      </c>
      <c r="H290" s="2">
        <v>3573</v>
      </c>
      <c r="I290" s="2" t="inlineStr">
        <is>
          <t>$</t>
        </is>
      </c>
      <c r="J290" s="2">
        <f>HYPERLINK("https://app.astro.lead-studio.pro/product/1881096b-785b-4947-a105-6f272369c66b")</f>
      </c>
    </row>
    <row r="291" spans="1:10" customHeight="0">
      <c r="A291" s="2" t="inlineStr">
        <is>
          <t>Широкоформатные мониторы</t>
        </is>
      </c>
      <c r="B291" s="2" t="inlineStr">
        <is>
          <t>SAMSUNG</t>
        </is>
      </c>
      <c r="C291" s="2" t="inlineStr">
        <is>
          <t>LH55VHRRBGBXCI</t>
        </is>
      </c>
      <c r="D291" s="2" t="inlineStr">
        <is>
          <t>Дисплеи LCD 55" VH55R-R LH55VHRRBGBXCI SAMSUNG</t>
        </is>
      </c>
      <c r="E291" s="2">
        <v>10</v>
      </c>
      <c r="F291" s="2">
        <v>10</v>
      </c>
      <c r="H291" s="2">
        <v>6524</v>
      </c>
      <c r="I291" s="2" t="inlineStr">
        <is>
          <t>$</t>
        </is>
      </c>
      <c r="J291" s="2">
        <f>HYPERLINK("https://app.astro.lead-studio.pro/product/792da905-925b-434e-a6cc-d1aac71d47a6")</f>
      </c>
    </row>
    <row r="292" spans="1:10" customHeight="0">
      <c r="A292" s="2" t="inlineStr">
        <is>
          <t>Широкоформатные мониторы</t>
        </is>
      </c>
      <c r="B292" s="2" t="inlineStr">
        <is>
          <t>SAMSUNG</t>
        </is>
      </c>
      <c r="C292" s="2" t="inlineStr">
        <is>
          <t>LH65WADWLGCXCI</t>
        </is>
      </c>
      <c r="D292" s="2" t="inlineStr">
        <is>
          <t>Дисплеи LCD 65" WA65D LH65WADWLGCXCI SAMSUNG</t>
        </is>
      </c>
      <c r="E292" s="2">
        <v>10</v>
      </c>
      <c r="F292" s="2">
        <v>10</v>
      </c>
      <c r="H292" s="2">
        <v>4092</v>
      </c>
      <c r="I292" s="2" t="inlineStr">
        <is>
          <t>$</t>
        </is>
      </c>
      <c r="J292" s="2">
        <f>HYPERLINK("https://app.astro.lead-studio.pro/product/2fdef583-3d36-4c93-86a6-e8854cb179b0")</f>
      </c>
    </row>
    <row r="293" spans="1:10" customHeight="0">
      <c r="A293" s="2" t="inlineStr">
        <is>
          <t>Широкоформатные мониторы</t>
        </is>
      </c>
      <c r="B293" s="2" t="inlineStr">
        <is>
          <t>SAMSUNG</t>
        </is>
      </c>
      <c r="C293" s="2" t="inlineStr">
        <is>
          <t>LH85QMRBBGCXCI</t>
        </is>
      </c>
      <c r="D293" s="2" t="inlineStr">
        <is>
          <t>Дисплеи LCD 85" QM85R-B UHD LH85QMRBBGCXCI SAMSUNG</t>
        </is>
      </c>
      <c r="E293" s="2" t="inlineStr">
        <is>
          <t>1</t>
        </is>
      </c>
      <c r="F293" s="2" t="inlineStr">
        <is>
          <t>1</t>
        </is>
      </c>
      <c r="H293" s="2">
        <v>10769</v>
      </c>
      <c r="I293" s="2" t="inlineStr">
        <is>
          <t>$</t>
        </is>
      </c>
      <c r="J293" s="2">
        <f>HYPERLINK("https://app.astro.lead-studio.pro/product/506d2746-9aa2-45cb-b5f3-eee841850976")</f>
      </c>
    </row>
    <row r="294" spans="1:10" customHeight="0">
      <c r="A294" s="2" t="inlineStr">
        <is>
          <t>Широкоформатные мониторы</t>
        </is>
      </c>
      <c r="B294" s="2" t="inlineStr">
        <is>
          <t>SAMSUNG</t>
        </is>
      </c>
      <c r="C294" s="2" t="inlineStr">
        <is>
          <t>LH86WADWLGCXCI</t>
        </is>
      </c>
      <c r="D294" s="2" t="inlineStr">
        <is>
          <t>Дисплеи LCD 86" WA86D LH86WADWLGCXCI SAMSUNG</t>
        </is>
      </c>
      <c r="E294" s="2">
        <v>10</v>
      </c>
      <c r="F294" s="2">
        <v>10</v>
      </c>
      <c r="H294" s="2">
        <v>6697</v>
      </c>
      <c r="I294" s="2" t="inlineStr">
        <is>
          <t>$</t>
        </is>
      </c>
      <c r="J294" s="2">
        <f>HYPERLINK("https://app.astro.lead-studio.pro/product/e0ba9d48-3280-4aa1-9b33-8c0c18154dc4")</f>
      </c>
    </row>
    <row r="295" spans="1:10" customHeight="0">
      <c r="A295" s="2" t="inlineStr">
        <is>
          <t>Широкоформатные мониторы</t>
        </is>
      </c>
      <c r="B295" s="2" t="inlineStr">
        <is>
          <t>SAMSUNG</t>
        </is>
      </c>
      <c r="C295" s="2" t="inlineStr">
        <is>
          <t>LH015IERKLS/CI</t>
        </is>
      </c>
      <c r="D295" s="2" t="inlineStr">
        <is>
          <t>Дисплеи LED CABINET IE015R LH015IERKLS/CI SAMSUNG</t>
        </is>
      </c>
      <c r="E295" s="2" t="inlineStr">
        <is>
          <t>3</t>
        </is>
      </c>
      <c r="F295" s="2" t="inlineStr">
        <is>
          <t>3</t>
        </is>
      </c>
      <c r="H295" s="2">
        <v>543</v>
      </c>
      <c r="I295" s="2" t="inlineStr">
        <is>
          <t>$</t>
        </is>
      </c>
      <c r="J295" s="2">
        <f>HYPERLINK("https://app.astro.lead-studio.pro/product/fc73c1a9-d719-4b54-82bb-47d427a752fe")</f>
      </c>
    </row>
    <row r="296" spans="1:10" customHeight="0">
      <c r="A296" s="2" t="inlineStr">
        <is>
          <t>Широкоформатные мониторы</t>
        </is>
      </c>
      <c r="B296" s="2" t="inlineStr">
        <is>
          <t>HIKVISION</t>
        </is>
      </c>
      <c r="C296" s="2" t="inlineStr">
        <is>
          <t>DS-D5B86RB/C</t>
        </is>
      </c>
      <c r="D296" s="2" t="inlineStr">
        <is>
          <t>Дисплеи LED DS-D5B86RB/C HIKVISION</t>
        </is>
      </c>
      <c r="E296" s="2" t="inlineStr">
        <is>
          <t>4</t>
        </is>
      </c>
      <c r="F296" s="2" t="inlineStr">
        <is>
          <t>4</t>
        </is>
      </c>
      <c r="H296" s="2">
        <v>4955</v>
      </c>
      <c r="I296" s="2" t="inlineStr">
        <is>
          <t>$</t>
        </is>
      </c>
      <c r="J296" s="2">
        <f>HYPERLINK("https://app.astro.lead-studio.pro/product/3fd5d6b7-7e2a-4009-bcf3-6c1180cc3fcf")</f>
      </c>
    </row>
    <row r="297" spans="1:10" customHeight="0">
      <c r="A297" s="2" t="inlineStr">
        <is>
          <t>Широкоформатные мониторы</t>
        </is>
      </c>
      <c r="B297" s="2" t="inlineStr">
        <is>
          <t>HIKVISION</t>
        </is>
      </c>
      <c r="C297" s="2" t="inlineStr">
        <is>
          <t>DS-D42MF2B</t>
        </is>
      </c>
      <c r="D297" s="2" t="inlineStr">
        <is>
          <t>Инструмент для LED-экрана DS-D42MF2B HIKVISION</t>
        </is>
      </c>
      <c r="E297" s="2" t="inlineStr">
        <is>
          <t>4</t>
        </is>
      </c>
      <c r="F297" s="2" t="inlineStr">
        <is>
          <t>4</t>
        </is>
      </c>
      <c r="H297" s="2">
        <v>686</v>
      </c>
      <c r="I297" s="2" t="inlineStr">
        <is>
          <t>$</t>
        </is>
      </c>
      <c r="J297" s="2">
        <f>HYPERLINK("https://app.astro.lead-studio.pro/product/be46790d-30cf-41c8-954c-7b56dbe93dc3")</f>
      </c>
    </row>
    <row r="298" spans="1:10" customHeight="0">
      <c r="A298" s="2" t="inlineStr">
        <is>
          <t>Широкоформатные мониторы</t>
        </is>
      </c>
      <c r="B298" s="2" t="inlineStr">
        <is>
          <t>HIKVISION</t>
        </is>
      </c>
      <c r="C298" s="2" t="inlineStr">
        <is>
          <t>DS-D5C65RB/A</t>
        </is>
      </c>
      <c r="D298" s="2" t="inlineStr">
        <is>
          <t>Интерактивный LCD экран 65" DS-D5C65RB/A HIKVISION</t>
        </is>
      </c>
      <c r="E298" s="2" t="inlineStr">
        <is>
          <t>3</t>
        </is>
      </c>
      <c r="F298" s="2" t="inlineStr">
        <is>
          <t>3</t>
        </is>
      </c>
      <c r="H298" s="2">
        <v>3266</v>
      </c>
      <c r="I298" s="2" t="inlineStr">
        <is>
          <t>$</t>
        </is>
      </c>
      <c r="J298" s="2">
        <f>HYPERLINK("https://app.astro.lead-studio.pro/product/47353aff-55b1-49e2-9ef0-84ad742599fb")</f>
      </c>
    </row>
    <row r="299" spans="1:10" customHeight="0">
      <c r="A299" s="2" t="inlineStr">
        <is>
          <t>Широкоформатные мониторы</t>
        </is>
      </c>
      <c r="B299" s="2" t="inlineStr">
        <is>
          <t>HIKVISION</t>
        </is>
      </c>
      <c r="C299" s="2" t="inlineStr">
        <is>
          <t>DS-D5C75RB/A</t>
        </is>
      </c>
      <c r="D299" s="2" t="inlineStr">
        <is>
          <t>Интерактивный LCD экран 75" DS-D5C75RB/A HIKVISION</t>
        </is>
      </c>
      <c r="E299" s="2" t="inlineStr">
        <is>
          <t>2</t>
        </is>
      </c>
      <c r="F299" s="2" t="inlineStr">
        <is>
          <t>2</t>
        </is>
      </c>
      <c r="H299" s="2">
        <v>4313</v>
      </c>
      <c r="I299" s="2" t="inlineStr">
        <is>
          <t>$</t>
        </is>
      </c>
      <c r="J299" s="2">
        <f>HYPERLINK("https://app.astro.lead-studio.pro/product/67d0e11d-55df-4812-8fa6-7d54fc22bb5f")</f>
      </c>
    </row>
    <row r="300" spans="1:10" customHeight="0">
      <c r="A300" s="2" t="inlineStr">
        <is>
          <t>Широкоформатные мониторы</t>
        </is>
      </c>
      <c r="B300" s="2" t="inlineStr">
        <is>
          <t>HIKVISION</t>
        </is>
      </c>
      <c r="C300" s="2" t="inlineStr">
        <is>
          <t>DS-D5C65RB/B</t>
        </is>
      </c>
      <c r="D300" s="2" t="inlineStr">
        <is>
          <t>Интерактивный LCD экран DS-D5C65RB/B HIKVISION</t>
        </is>
      </c>
      <c r="E300" s="2">
        <v>10</v>
      </c>
      <c r="F300" s="2">
        <v>10</v>
      </c>
      <c r="H300" s="2">
        <v>3984</v>
      </c>
      <c r="I300" s="2" t="inlineStr">
        <is>
          <t>$</t>
        </is>
      </c>
      <c r="J300" s="2">
        <f>HYPERLINK("https://app.astro.lead-studio.pro/product/5f1c2e88-64ce-4563-a9ad-995a48cfabbe")</f>
      </c>
    </row>
    <row r="301" spans="1:10" customHeight="0">
      <c r="A301" s="2" t="inlineStr">
        <is>
          <t>Широкоформатные мониторы</t>
        </is>
      </c>
      <c r="B301" s="2" t="inlineStr">
        <is>
          <t>HIKVISION</t>
        </is>
      </c>
      <c r="C301" s="2" t="inlineStr">
        <is>
          <t>DS-D5C75RB/B</t>
        </is>
      </c>
      <c r="D301" s="2" t="inlineStr">
        <is>
          <t>Интерактивный LCD экран DS-D5C75RB/B HIKVISION</t>
        </is>
      </c>
      <c r="E301" s="2">
        <v>10</v>
      </c>
      <c r="F301" s="2">
        <v>10</v>
      </c>
      <c r="H301" s="2">
        <v>5088</v>
      </c>
      <c r="I301" s="2" t="inlineStr">
        <is>
          <t>$</t>
        </is>
      </c>
      <c r="J301" s="2">
        <f>HYPERLINK("https://app.astro.lead-studio.pro/product/3185f901-fc11-422d-b97e-e40a39ab17f1")</f>
      </c>
    </row>
    <row r="302" spans="1:10" customHeight="0">
      <c r="A302" s="2" t="inlineStr">
        <is>
          <t>Широкоформатные мониторы</t>
        </is>
      </c>
      <c r="B302" s="2" t="inlineStr">
        <is>
          <t>HIKVISION</t>
        </is>
      </c>
      <c r="C302" s="2" t="inlineStr">
        <is>
          <t>DS-D5C86RB/A</t>
        </is>
      </c>
      <c r="D302" s="2" t="inlineStr">
        <is>
          <t>Интерактивный LCD экран DS-D5C86RB/A HIKVISION</t>
        </is>
      </c>
      <c r="E302" s="2" t="inlineStr">
        <is>
          <t>2</t>
        </is>
      </c>
      <c r="F302" s="2" t="inlineStr">
        <is>
          <t>2</t>
        </is>
      </c>
      <c r="H302" s="2">
        <v>5958</v>
      </c>
      <c r="I302" s="2" t="inlineStr">
        <is>
          <t>$</t>
        </is>
      </c>
      <c r="J302" s="2">
        <f>HYPERLINK("https://app.astro.lead-studio.pro/product/c2443eee-38de-4cbd-90a2-4f4dd9e5a5bf")</f>
      </c>
    </row>
    <row r="303" spans="1:10" customHeight="0">
      <c r="A303" s="2" t="inlineStr">
        <is>
          <t>Широкоформатные мониторы</t>
        </is>
      </c>
      <c r="B303" s="2" t="inlineStr">
        <is>
          <t>HIKVISION</t>
        </is>
      </c>
      <c r="C303" s="2" t="inlineStr">
        <is>
          <t>DS-D5ABKY2-B</t>
        </is>
      </c>
      <c r="D303" s="2" t="inlineStr">
        <is>
          <t>Кронштейн системы конференцсвязи DS-D5ABKY2-B HIKVISION</t>
        </is>
      </c>
      <c r="E303" s="2" t="inlineStr">
        <is>
          <t>5</t>
        </is>
      </c>
      <c r="F303" s="2" t="inlineStr">
        <is>
          <t>5</t>
        </is>
      </c>
      <c r="H303" s="2">
        <v>858</v>
      </c>
      <c r="I303" s="2" t="inlineStr">
        <is>
          <t>$</t>
        </is>
      </c>
      <c r="J303" s="2">
        <f>HYPERLINK("https://app.astro.lead-studio.pro/product/bd16b340-7122-418b-8a74-5fe2a2069b92")</f>
      </c>
    </row>
    <row r="304" spans="1:10" customHeight="0">
      <c r="A304" s="2" t="inlineStr">
        <is>
          <t>Широкоформатные мониторы</t>
        </is>
      </c>
      <c r="B304" s="2" t="inlineStr">
        <is>
          <t>HIKVISION</t>
        </is>
      </c>
      <c r="C304" s="2" t="inlineStr">
        <is>
          <t>DS-D5ABKY2-S</t>
        </is>
      </c>
      <c r="D304" s="2" t="inlineStr">
        <is>
          <t>Кронштейн системы конференцсвязи DS-D5ABKY2-S HIKVISION</t>
        </is>
      </c>
      <c r="E304" s="2">
        <v>10</v>
      </c>
      <c r="F304" s="2">
        <v>10</v>
      </c>
      <c r="H304" s="2">
        <v>514</v>
      </c>
      <c r="I304" s="2" t="inlineStr">
        <is>
          <t>$</t>
        </is>
      </c>
      <c r="J304" s="2">
        <f>HYPERLINK("https://app.astro.lead-studio.pro/product/a748407f-ef23-4eb1-8160-bf5e55999908")</f>
      </c>
    </row>
    <row r="305" spans="1:10" customHeight="0">
      <c r="A305" s="2" t="inlineStr">
        <is>
          <t>Широкоформатные мониторы</t>
        </is>
      </c>
      <c r="B305" s="2" t="inlineStr">
        <is>
          <t>HIKVISION</t>
        </is>
      </c>
      <c r="C305" s="2" t="inlineStr">
        <is>
          <t>DS-DN55B3M/F</t>
        </is>
      </c>
      <c r="D305" s="2" t="inlineStr">
        <is>
          <t>Модульный кронштейн для LCD-экранов  55” DS-DN55B3M/F HIKVISION</t>
        </is>
      </c>
      <c r="E305" s="2">
        <v>10</v>
      </c>
      <c r="F305" s="2">
        <v>10</v>
      </c>
      <c r="H305" s="2">
        <v>361</v>
      </c>
      <c r="I305" s="2" t="inlineStr">
        <is>
          <t>$</t>
        </is>
      </c>
      <c r="J305" s="2">
        <f>HYPERLINK("https://app.astro.lead-studio.pro/product/c0918dd4-e1fe-4466-988b-3eb606258e2d")</f>
      </c>
    </row>
    <row r="306" spans="1:10" customHeight="0">
      <c r="A306" s="2" t="inlineStr">
        <is>
          <t>Широкоформатные мониторы</t>
        </is>
      </c>
      <c r="B306" s="2" t="inlineStr">
        <is>
          <t>HIKVISION</t>
        </is>
      </c>
      <c r="C306" s="2" t="inlineStr">
        <is>
          <t>DS-DN55B3M/B</t>
        </is>
      </c>
      <c r="D306" s="2" t="inlineStr">
        <is>
          <t>Модульный кронштейн для LCD-экранов 55” DS-DN55B3M/B HIKVISION</t>
        </is>
      </c>
      <c r="E306" s="2" t="inlineStr">
        <is>
          <t>9</t>
        </is>
      </c>
      <c r="F306" s="2" t="inlineStr">
        <is>
          <t>9</t>
        </is>
      </c>
      <c r="H306" s="2">
        <v>917</v>
      </c>
      <c r="I306" s="2" t="inlineStr">
        <is>
          <t>$</t>
        </is>
      </c>
      <c r="J306" s="2">
        <f>HYPERLINK("https://app.astro.lead-studio.pro/product/41eea9a8-9f9a-4bed-a740-af02547e8fde")</f>
      </c>
    </row>
    <row r="307" spans="1:10" customHeight="0">
      <c r="A307" s="2" t="inlineStr">
        <is>
          <t>Широкоформатные мониторы</t>
        </is>
      </c>
      <c r="B307" s="2" t="inlineStr">
        <is>
          <t>HIKVISION</t>
        </is>
      </c>
      <c r="C307" s="2" t="inlineStr">
        <is>
          <t>DS-DN55E4M/B</t>
        </is>
      </c>
      <c r="D307" s="2" t="inlineStr">
        <is>
          <t>Модульный кронштейн для LCD-экранов 55” DS-DN55E4M/B HIKVISION</t>
        </is>
      </c>
      <c r="E307" s="2" t="inlineStr">
        <is>
          <t>5</t>
        </is>
      </c>
      <c r="F307" s="2" t="inlineStr">
        <is>
          <t>5</t>
        </is>
      </c>
      <c r="H307" s="2">
        <v>914</v>
      </c>
      <c r="I307" s="2" t="inlineStr">
        <is>
          <t>$</t>
        </is>
      </c>
      <c r="J307" s="2">
        <f>HYPERLINK("https://app.astro.lead-studio.pro/product/9c88a565-71cd-4563-bab3-b99e67e7c10e")</f>
      </c>
    </row>
    <row r="308" spans="1:10" customHeight="0">
      <c r="A308" s="2" t="inlineStr">
        <is>
          <t>Широкоформатные мониторы</t>
        </is>
      </c>
      <c r="B308" s="2" t="inlineStr">
        <is>
          <t>HIKVISION</t>
        </is>
      </c>
      <c r="C308" s="2" t="inlineStr">
        <is>
          <t>DS-DN55E4M/F</t>
        </is>
      </c>
      <c r="D308" s="2" t="inlineStr">
        <is>
          <t>Модульный кронштейн для LCD-экранов 55” DS-DN55E4M/F HIKVISION</t>
        </is>
      </c>
      <c r="E308" s="2" t="inlineStr">
        <is>
          <t>10</t>
        </is>
      </c>
      <c r="F308" s="2" t="inlineStr">
        <is>
          <t>10</t>
        </is>
      </c>
      <c r="H308" s="2">
        <v>368</v>
      </c>
      <c r="I308" s="2" t="inlineStr">
        <is>
          <t>$</t>
        </is>
      </c>
      <c r="J308" s="2">
        <f>HYPERLINK("https://app.astro.lead-studio.pro/product/c107de38-dceb-4b43-b912-d1ae1eb96937")</f>
      </c>
    </row>
    <row r="309" spans="1:10" customHeight="0">
      <c r="A309" s="2" t="inlineStr">
        <is>
          <t>SSD Enterprise SAS</t>
        </is>
      </c>
      <c r="B309" s="2" t="inlineStr">
        <is>
          <t>SAMSUNG</t>
        </is>
      </c>
      <c r="C309" s="2" t="inlineStr">
        <is>
          <t>MZILT1T9HBJR-00007</t>
        </is>
      </c>
      <c r="D309" s="2" t="inlineStr">
        <is>
          <t>SSD жесткий диск SAS 2.5" 1.92TB PM1643A MZILT1T9HBJR-00007 SAMSUNG</t>
        </is>
      </c>
      <c r="E309" s="2">
        <v>10</v>
      </c>
      <c r="F309" s="2">
        <v>10</v>
      </c>
      <c r="H309" s="2">
        <v>595</v>
      </c>
      <c r="I309" s="2" t="inlineStr">
        <is>
          <t>$</t>
        </is>
      </c>
      <c r="J309" s="2">
        <f>HYPERLINK("https://app.astro.lead-studio.pro/product/d8b8358e-79e1-4edf-8401-0ea223d14674")</f>
      </c>
    </row>
    <row r="310" spans="1:10" customHeight="0">
      <c r="A310" s="2" t="inlineStr">
        <is>
          <t>SSD Enterprise SAS</t>
        </is>
      </c>
      <c r="B310" s="2" t="inlineStr">
        <is>
          <t>SAMSUNG</t>
        </is>
      </c>
      <c r="C310" s="2" t="inlineStr">
        <is>
          <t>MZILG1T9HCJR-00A07</t>
        </is>
      </c>
      <c r="D310" s="2" t="inlineStr">
        <is>
          <t>SSD жесткий диск SAS 2.5" 1.92TB PM1653 MZILG1T9HCJR-00A07 SAMSUNG</t>
        </is>
      </c>
      <c r="E310" s="2">
        <v>100</v>
      </c>
      <c r="F310" s="2">
        <v>100</v>
      </c>
      <c r="H310" s="2">
        <v>596</v>
      </c>
      <c r="I310" s="2" t="inlineStr">
        <is>
          <t>$</t>
        </is>
      </c>
      <c r="J310" s="2">
        <f>HYPERLINK("https://app.astro.lead-studio.pro/product/3d15eb07-477b-413e-a0a7-7191c96bbf60")</f>
      </c>
    </row>
    <row r="311" spans="1:10" customHeight="0">
      <c r="A311" s="2" t="inlineStr">
        <is>
          <t>SSD Enterprise SAS</t>
        </is>
      </c>
      <c r="B311" s="2" t="inlineStr">
        <is>
          <t>SAMSUNG</t>
        </is>
      </c>
      <c r="C311" s="2" t="inlineStr">
        <is>
          <t>MZILG15THBLA-00A07</t>
        </is>
      </c>
      <c r="D311" s="2" t="inlineStr">
        <is>
          <t>SSD жесткий диск SAS 2.5" 15.36TB PM1653 MZILG15THBLA-00A07 SAMSUNG</t>
        </is>
      </c>
      <c r="E311" s="2">
        <v>100</v>
      </c>
      <c r="F311" s="2">
        <v>100</v>
      </c>
      <c r="H311" s="2">
        <v>3687</v>
      </c>
      <c r="I311" s="2" t="inlineStr">
        <is>
          <t>$</t>
        </is>
      </c>
      <c r="J311" s="2">
        <f>HYPERLINK("https://app.astro.lead-studio.pro/product/99658c18-6151-4246-9797-4c14bbc83aac")</f>
      </c>
    </row>
    <row r="312" spans="1:10" customHeight="0">
      <c r="A312" s="2" t="inlineStr">
        <is>
          <t>SSD Enterprise SAS</t>
        </is>
      </c>
      <c r="B312" s="2" t="inlineStr">
        <is>
          <t>SAMSUNG</t>
        </is>
      </c>
      <c r="C312" s="2" t="inlineStr">
        <is>
          <t>MZILT3T8HBLS-00007</t>
        </is>
      </c>
      <c r="D312" s="2" t="inlineStr">
        <is>
          <t>SSD жесткий диск SAS 2.5" 3.84TB PM1643A MZILT3T8HBLS-00007 SAMSUNG</t>
        </is>
      </c>
      <c r="E312" s="2">
        <v>100</v>
      </c>
      <c r="F312" s="2">
        <v>100</v>
      </c>
      <c r="H312" s="2">
        <v>984</v>
      </c>
      <c r="I312" s="2" t="inlineStr">
        <is>
          <t>$</t>
        </is>
      </c>
      <c r="J312" s="2">
        <f>HYPERLINK("https://app.astro.lead-studio.pro/product/b93d337c-b62e-4cc2-a6b1-5d043c733753")</f>
      </c>
    </row>
    <row r="313" spans="1:10" customHeight="0">
      <c r="A313" s="2" t="inlineStr">
        <is>
          <t>SSD Enterprise SAS</t>
        </is>
      </c>
      <c r="B313" s="2" t="inlineStr">
        <is>
          <t>SAMSUNG</t>
        </is>
      </c>
      <c r="C313" s="2" t="inlineStr">
        <is>
          <t>MZILG3T8HCLS-00A07</t>
        </is>
      </c>
      <c r="D313" s="2" t="inlineStr">
        <is>
          <t>SSD жесткий диск SAS 2.5" 3.84TB PM1653 MZILG3T8HCLS-00A07 SAMSUNG</t>
        </is>
      </c>
      <c r="E313" s="2">
        <v>10</v>
      </c>
      <c r="F313" s="2">
        <v>10</v>
      </c>
      <c r="H313" s="2">
        <v>991</v>
      </c>
      <c r="I313" s="2" t="inlineStr">
        <is>
          <t>$</t>
        </is>
      </c>
      <c r="J313" s="2">
        <f>HYPERLINK("https://app.astro.lead-studio.pro/product/e82d1c2d-c27e-45d1-ae04-f7ca0c316b50")</f>
      </c>
    </row>
    <row r="314" spans="1:10" customHeight="0">
      <c r="A314" s="2" t="inlineStr">
        <is>
          <t>SSD Enterprise SAS</t>
        </is>
      </c>
      <c r="B314" s="2" t="inlineStr">
        <is>
          <t>SAMSUNG</t>
        </is>
      </c>
      <c r="C314" s="2" t="inlineStr">
        <is>
          <t>MZILG30THBLA-00A07</t>
        </is>
      </c>
      <c r="D314" s="2" t="inlineStr">
        <is>
          <t>SSD жесткий диск SAS 2.5" 30.72TB PM1653 MZILG30THBLA-00A07 SAMSUNG</t>
        </is>
      </c>
      <c r="E314" s="2" t="inlineStr">
        <is>
          <t>4</t>
        </is>
      </c>
      <c r="F314" s="2" t="inlineStr">
        <is>
          <t>4</t>
        </is>
      </c>
      <c r="H314" s="2">
        <v>7401</v>
      </c>
      <c r="I314" s="2" t="inlineStr">
        <is>
          <t>$</t>
        </is>
      </c>
      <c r="J314" s="2">
        <f>HYPERLINK("https://app.astro.lead-studio.pro/product/f8f1a9bd-4be9-4ad1-9208-67334e4b2875")</f>
      </c>
    </row>
    <row r="315" spans="1:10" customHeight="0">
      <c r="A315" s="2" t="inlineStr">
        <is>
          <t>SSD Enterprise SAS</t>
        </is>
      </c>
      <c r="B315" s="2" t="inlineStr">
        <is>
          <t>SAMSUNG</t>
        </is>
      </c>
      <c r="C315" s="2" t="inlineStr">
        <is>
          <t>MZILG7T6HBLA-00A07</t>
        </is>
      </c>
      <c r="D315" s="2" t="inlineStr">
        <is>
          <t>SSD жесткий диск SAS 2.5" 7.68TB PM1653 MZILG7T6HBLA-00A07 SAMSUNG</t>
        </is>
      </c>
      <c r="E315" s="2">
        <v>100</v>
      </c>
      <c r="F315" s="2">
        <v>100</v>
      </c>
      <c r="H315" s="2">
        <v>1679</v>
      </c>
      <c r="I315" s="2" t="inlineStr">
        <is>
          <t>$</t>
        </is>
      </c>
      <c r="J315" s="2">
        <f>HYPERLINK("https://app.astro.lead-studio.pro/product/5d016f3f-2b34-4526-8b06-cb8ee11c5538")</f>
      </c>
    </row>
    <row r="316" spans="1:10" customHeight="0">
      <c r="A316" s="2" t="inlineStr">
        <is>
          <t>SSD Enterprise SAS</t>
        </is>
      </c>
      <c r="B316" s="2" t="inlineStr">
        <is>
          <t>SAMSUNG</t>
        </is>
      </c>
      <c r="C316" s="2" t="inlineStr">
        <is>
          <t>MZILG960HCHQ-00A07</t>
        </is>
      </c>
      <c r="D316" s="2" t="inlineStr">
        <is>
          <t>SSD жесткий диск SAS 2.5" 960GB PM1653 MZILG960HCHQ-00A07 SAMSUNG</t>
        </is>
      </c>
      <c r="E316" s="2">
        <v>10</v>
      </c>
      <c r="F316" s="2">
        <v>10</v>
      </c>
      <c r="H316" s="2">
        <v>401</v>
      </c>
      <c r="I316" s="2" t="inlineStr">
        <is>
          <t>$</t>
        </is>
      </c>
      <c r="J316" s="2">
        <f>HYPERLINK("https://app.astro.lead-studio.pro/product/7dfc68c5-0c0a-4fdb-ba72-7a945c1a384a")</f>
      </c>
    </row>
    <row r="317" spans="1:10" customHeight="0">
      <c r="A317" s="2" t="inlineStr">
        <is>
          <t>SSD Enterprise SATA</t>
        </is>
      </c>
      <c r="B317" s="2" t="inlineStr">
        <is>
          <t>SAMSUNG</t>
        </is>
      </c>
      <c r="C317" s="2" t="inlineStr">
        <is>
          <t>MZ7L31T9HBNA-00A07</t>
        </is>
      </c>
      <c r="D317" s="2" t="inlineStr">
        <is>
          <t>SSD жесткий диск SATA2.5" 1.92TB PM897 TLC MZ7L31T9HBNA-00A07 SAMSUNG</t>
        </is>
      </c>
      <c r="E317" s="2">
        <v>100</v>
      </c>
      <c r="F317" s="2">
        <v>100</v>
      </c>
      <c r="H317" s="2">
        <v>539</v>
      </c>
      <c r="I317" s="2" t="inlineStr">
        <is>
          <t>$</t>
        </is>
      </c>
      <c r="J317" s="2">
        <f>HYPERLINK("https://app.astro.lead-studio.pro/product/1bfc7be2-9afd-4bcf-a8b3-e360144122a4")</f>
      </c>
    </row>
    <row r="318" spans="1:10" customHeight="0">
      <c r="A318" s="2" t="inlineStr">
        <is>
          <t>SSD Enterprise SATA</t>
        </is>
      </c>
      <c r="B318" s="2" t="inlineStr">
        <is>
          <t>INTEL</t>
        </is>
      </c>
      <c r="C318" s="2" t="inlineStr">
        <is>
          <t>SSDSC2KG019TZ01 99A0DA</t>
        </is>
      </c>
      <c r="D318" s="2" t="inlineStr">
        <is>
          <t>SSD жесткий диск SATA2.5" 1.92TB TLC D3-S4620 SSDSC2KG019TZ01 INTEL</t>
        </is>
      </c>
      <c r="E318" s="2">
        <v>40</v>
      </c>
      <c r="F318" s="2">
        <v>40</v>
      </c>
      <c r="H318" s="2">
        <v>487</v>
      </c>
      <c r="I318" s="2" t="inlineStr">
        <is>
          <t>$</t>
        </is>
      </c>
      <c r="J318" s="2">
        <f>HYPERLINK("https://app.astro.lead-studio.pro/product/36889aa8-8dc7-4b25-aadb-dd99a6743466")</f>
      </c>
    </row>
    <row r="319" spans="1:10" customHeight="0">
      <c r="A319" s="2" t="inlineStr">
        <is>
          <t>SSD Enterprise SATA</t>
        </is>
      </c>
      <c r="B319" s="2" t="inlineStr">
        <is>
          <t>SAMSUNG</t>
        </is>
      </c>
      <c r="C319" s="2" t="inlineStr">
        <is>
          <t>MZ7L33T8HBLT-00A07</t>
        </is>
      </c>
      <c r="D319" s="2" t="inlineStr">
        <is>
          <t>SSD жесткий диск SATA2.5" 3.84TB PM893 TLC MZ7L33T8HBLT-00A07 SAMSUNG</t>
        </is>
      </c>
      <c r="E319" s="2">
        <v>100</v>
      </c>
      <c r="F319" s="2">
        <v>100</v>
      </c>
      <c r="H319" s="2">
        <v>656</v>
      </c>
      <c r="I319" s="2" t="inlineStr">
        <is>
          <t>$</t>
        </is>
      </c>
      <c r="J319" s="2">
        <f>HYPERLINK("https://app.astro.lead-studio.pro/product/9d81a922-244e-4a11-8b7e-1197afa2639b")</f>
      </c>
    </row>
    <row r="320" spans="1:10" customHeight="0">
      <c r="A320" s="2" t="inlineStr">
        <is>
          <t>SSD Enterprise SATA</t>
        </is>
      </c>
      <c r="B320" s="2" t="inlineStr">
        <is>
          <t>SAMSUNG</t>
        </is>
      </c>
      <c r="C320" s="2" t="inlineStr">
        <is>
          <t>MZ7L33T8HBNA-00A07</t>
        </is>
      </c>
      <c r="D320" s="2" t="inlineStr">
        <is>
          <t>SSD жесткий диск SATA2.5" 3.84TB PM897 TLC MZ7L33T8HBNA-00A07 SAMSUNG</t>
        </is>
      </c>
      <c r="E320" s="2">
        <v>40</v>
      </c>
      <c r="F320" s="2">
        <v>40</v>
      </c>
      <c r="H320" s="2">
        <v>876</v>
      </c>
      <c r="I320" s="2" t="inlineStr">
        <is>
          <t>$</t>
        </is>
      </c>
      <c r="J320" s="2">
        <f>HYPERLINK("https://app.astro.lead-studio.pro/product/9c73a5fe-d805-4dad-ab50-bcb1b606c739")</f>
      </c>
    </row>
    <row r="321" spans="1:10" customHeight="0">
      <c r="A321" s="2" t="inlineStr">
        <is>
          <t>SSD Enterprise SATA</t>
        </is>
      </c>
      <c r="B321" s="2" t="inlineStr">
        <is>
          <t>INTEL</t>
        </is>
      </c>
      <c r="C321" s="2" t="inlineStr">
        <is>
          <t>SSDSC2KG038TZ01_99A0DC</t>
        </is>
      </c>
      <c r="D321" s="2" t="inlineStr">
        <is>
          <t>SSD жесткий диск SATA2.5" 3.84TB TLC D3-S4620 SSDSC2KG038TZ01 INTEL</t>
        </is>
      </c>
      <c r="E321" s="2">
        <v>40</v>
      </c>
      <c r="F321" s="2">
        <v>40</v>
      </c>
      <c r="H321" s="2">
        <v>834</v>
      </c>
      <c r="I321" s="2" t="inlineStr">
        <is>
          <t>$</t>
        </is>
      </c>
      <c r="J321" s="2">
        <f>HYPERLINK("https://app.astro.lead-studio.pro/product/ff2e3526-4487-4aad-885b-022d170844f1")</f>
      </c>
    </row>
    <row r="322" spans="1:10" customHeight="0">
      <c r="A322" s="2" t="inlineStr">
        <is>
          <t>Блоки питания для серверов</t>
        </is>
      </c>
      <c r="B322" s="2" t="inlineStr">
        <is>
          <t>GIGABYTE</t>
        </is>
      </c>
      <c r="C322" s="2" t="inlineStr">
        <is>
          <t>25EP0-22000A-L0S</t>
        </is>
      </c>
      <c r="D322" s="2" t="inlineStr">
        <is>
          <t>Блок питания для сервера 2000W REDUNDANT 25EP0-22000A-L0S GIGABYTE</t>
        </is>
      </c>
      <c r="E322" s="2" t="inlineStr">
        <is>
          <t>3</t>
        </is>
      </c>
      <c r="F322" s="2" t="inlineStr">
        <is>
          <t>3</t>
        </is>
      </c>
      <c r="H322" s="2">
        <v>441</v>
      </c>
      <c r="I322" s="2" t="inlineStr">
        <is>
          <t>$</t>
        </is>
      </c>
      <c r="J322" s="2">
        <f>HYPERLINK("https://app.astro.lead-studio.pro/product/901eca5f-5f98-42ed-a372-4584f764f4f2")</f>
      </c>
    </row>
    <row r="323" spans="1:10" customHeight="0">
      <c r="A323" s="2" t="inlineStr">
        <is>
          <t>Блоки питания для серверов</t>
        </is>
      </c>
      <c r="B323" s="2" t="inlineStr">
        <is>
          <t>GIGABYTE</t>
        </is>
      </c>
      <c r="C323" s="2" t="inlineStr">
        <is>
          <t>25EP0-224000-D0S</t>
        </is>
      </c>
      <c r="D323" s="2" t="inlineStr">
        <is>
          <t>Блок питания для сервера 2400W 25EP0-224000-D0S GIGABYTE</t>
        </is>
      </c>
      <c r="E323" s="2" t="inlineStr">
        <is>
          <t>4</t>
        </is>
      </c>
      <c r="F323" s="2" t="inlineStr">
        <is>
          <t>4</t>
        </is>
      </c>
      <c r="H323" s="2">
        <v>529</v>
      </c>
      <c r="I323" s="2" t="inlineStr">
        <is>
          <t>$</t>
        </is>
      </c>
      <c r="J323" s="2">
        <f>HYPERLINK("https://app.astro.lead-studio.pro/product/d82f84e9-e665-4113-8f27-1f93c81d2f95")</f>
      </c>
    </row>
    <row r="324" spans="1:10" customHeight="0">
      <c r="A324" s="2" t="inlineStr">
        <is>
          <t>Блоки питания для серверов</t>
        </is>
      </c>
      <c r="B324" s="2" t="inlineStr">
        <is>
          <t>SUPERMICRO</t>
        </is>
      </c>
      <c r="C324" s="2" t="inlineStr">
        <is>
          <t>PWS-3K04A-1R</t>
        </is>
      </c>
      <c r="D324" s="2" t="inlineStr">
        <is>
          <t>Блок питания для сервера 3000W PWS-3K04A-1R SUPERMICRO</t>
        </is>
      </c>
      <c r="E324" s="2" t="inlineStr">
        <is>
          <t>1</t>
        </is>
      </c>
      <c r="F324" s="2" t="inlineStr">
        <is>
          <t>1</t>
        </is>
      </c>
      <c r="H324" s="2">
        <v>741</v>
      </c>
      <c r="I324" s="2" t="inlineStr">
        <is>
          <t>$</t>
        </is>
      </c>
      <c r="J324" s="2">
        <f>HYPERLINK("https://app.astro.lead-studio.pro/product/38a6fa61-f013-4617-ae6e-cc97bd6b3313")</f>
      </c>
    </row>
    <row r="325" spans="1:10" customHeight="0">
      <c r="A325" s="2" t="inlineStr">
        <is>
          <t>Блоки питания для серверов</t>
        </is>
      </c>
      <c r="B325" s="2" t="inlineStr">
        <is>
          <t>SUPERMICRO</t>
        </is>
      </c>
      <c r="C325" s="2" t="inlineStr">
        <is>
          <t>PWS-605P-1H</t>
        </is>
      </c>
      <c r="D325" s="2" t="inlineStr">
        <is>
          <t>Блок питания для сервера 600W PWS-605P-1H SUPERMICRO</t>
        </is>
      </c>
      <c r="E325" s="2" t="inlineStr">
        <is>
          <t>Нет в наличии</t>
        </is>
      </c>
      <c r="F325" s="2" t="inlineStr">
        <is>
          <t>Нет в наличии</t>
        </is>
      </c>
      <c r="H325" s="2">
        <v>359</v>
      </c>
      <c r="I325" s="2" t="inlineStr">
        <is>
          <t>$</t>
        </is>
      </c>
      <c r="J325" s="2">
        <f>HYPERLINK("https://app.astro.lead-studio.pro/product/f82c5f07-c869-426c-bb20-962a10ad5d65")</f>
      </c>
    </row>
    <row r="326" spans="1:10" customHeight="0">
      <c r="A326" s="2" t="inlineStr">
        <is>
          <t>Блоки питания для серверов</t>
        </is>
      </c>
      <c r="B326" s="2" t="inlineStr">
        <is>
          <t>SUPERMICRO</t>
        </is>
      </c>
      <c r="C326" s="2" t="inlineStr">
        <is>
          <t>PWS-920P-1R</t>
        </is>
      </c>
      <c r="D326" s="2" t="inlineStr">
        <is>
          <t>Блок питания для сервера 920W REDUNDANT PWS-920P-1R SUPERMICRO</t>
        </is>
      </c>
      <c r="E326" s="2" t="inlineStr">
        <is>
          <t>Нет в наличии</t>
        </is>
      </c>
      <c r="F326" s="2" t="inlineStr">
        <is>
          <t>Нет в наличии</t>
        </is>
      </c>
      <c r="H326" s="2">
        <v>470</v>
      </c>
      <c r="I326" s="2" t="inlineStr">
        <is>
          <t>$</t>
        </is>
      </c>
      <c r="J326" s="2">
        <f>HYPERLINK("https://app.astro.lead-studio.pro/product/b0b22984-fd44-4091-ba6f-7bf1c8138909")</f>
      </c>
    </row>
    <row r="327" spans="1:10" customHeight="0">
      <c r="A327" s="2" t="inlineStr">
        <is>
          <t>Блоки питания для СХД</t>
        </is>
      </c>
      <c r="B327" s="2" t="inlineStr">
        <is>
          <t>SYNOLOGY</t>
        </is>
      </c>
      <c r="C327" s="2" t="inlineStr">
        <is>
          <t>PSU_350W-RP_MODULE_1</t>
        </is>
      </c>
      <c r="D327" s="2" t="inlineStr">
        <is>
          <t>Опция к системам хранения данных REDUNDANT POWER MODULE 350W SYNOLOGY</t>
        </is>
      </c>
      <c r="E327" s="2" t="inlineStr">
        <is>
          <t>2</t>
        </is>
      </c>
      <c r="F327" s="2" t="inlineStr">
        <is>
          <t>2</t>
        </is>
      </c>
      <c r="H327" s="2">
        <v>479</v>
      </c>
      <c r="I327" s="2" t="inlineStr">
        <is>
          <t>$</t>
        </is>
      </c>
      <c r="J327" s="2">
        <f>HYPERLINK("https://app.astro.lead-studio.pro/product/83cb8403-0ebb-4c42-a488-60cc6495e662")</f>
      </c>
    </row>
    <row r="328" spans="1:10" customHeight="0">
      <c r="A328" s="2" t="inlineStr">
        <is>
          <t>Блоки питания для СХД</t>
        </is>
      </c>
      <c r="B328" s="2" t="inlineStr">
        <is>
          <t>SYNOLOGY</t>
        </is>
      </c>
      <c r="C328" s="2" t="inlineStr">
        <is>
          <t>PSU_500W-RP_MODULE_2</t>
        </is>
      </c>
      <c r="D328" s="2" t="inlineStr">
        <is>
          <t>Опция к системам хранения данных REDUNDANT POWER MODULE 500W SYNOLOGY</t>
        </is>
      </c>
      <c r="E328" s="2" t="inlineStr">
        <is>
          <t>7</t>
        </is>
      </c>
      <c r="F328" s="2" t="inlineStr">
        <is>
          <t>7</t>
        </is>
      </c>
      <c r="H328" s="2">
        <v>523</v>
      </c>
      <c r="I328" s="2" t="inlineStr">
        <is>
          <t>$</t>
        </is>
      </c>
      <c r="J328" s="2">
        <f>HYPERLINK("https://app.astro.lead-studio.pro/product/cb406564-6480-4b65-aa3e-26b3d5053605")</f>
      </c>
    </row>
    <row r="329" spans="1:10" customHeight="0">
      <c r="A329" s="2" t="inlineStr">
        <is>
          <t>Дисковые контроллеры</t>
        </is>
      </c>
      <c r="B329" s="2" t="inlineStr">
        <is>
          <t>BROADCOM</t>
        </is>
      </c>
      <c r="C329" s="2" t="inlineStr">
        <is>
          <t>LSI00415 05-25420-10</t>
        </is>
      </c>
      <c r="D329" s="2" t="inlineStr">
        <is>
          <t>Raid-контроллер SAS PCIE 4P 9361-4I LSI00415 SGL LSI BROADCOM</t>
        </is>
      </c>
      <c r="E329" s="2" t="inlineStr">
        <is>
          <t>Нет в наличии</t>
        </is>
      </c>
      <c r="F329" s="2" t="inlineStr">
        <is>
          <t>Нет в наличии</t>
        </is>
      </c>
      <c r="H329" s="2">
        <v>438</v>
      </c>
      <c r="I329" s="2" t="inlineStr">
        <is>
          <t>$</t>
        </is>
      </c>
      <c r="J329" s="2">
        <f>HYPERLINK("https://app.astro.lead-studio.pro/product/b61e8100-aebe-4ac3-a436-8ba66d1e8c79")</f>
      </c>
    </row>
    <row r="330" spans="1:10" customHeight="0">
      <c r="A330" s="2" t="inlineStr">
        <is>
          <t>Дисковые контроллеры</t>
        </is>
      </c>
      <c r="B330" s="2" t="inlineStr">
        <is>
          <t>BROADCOM</t>
        </is>
      </c>
      <c r="C330" s="2" t="inlineStr">
        <is>
          <t>LSI00462 05-25420-17</t>
        </is>
      </c>
      <c r="D330" s="2" t="inlineStr">
        <is>
          <t>Raid-контроллер SAS/SATA PCIE 2GB 9361-8I LSI00462 LSI BROADCOM</t>
        </is>
      </c>
      <c r="E330" s="2" t="inlineStr">
        <is>
          <t>Нет в наличии</t>
        </is>
      </c>
      <c r="F330" s="2" t="inlineStr">
        <is>
          <t>Нет в наличии</t>
        </is>
      </c>
      <c r="H330" s="2">
        <v>511</v>
      </c>
      <c r="I330" s="2" t="inlineStr">
        <is>
          <t>$</t>
        </is>
      </c>
      <c r="J330" s="2">
        <f>HYPERLINK("https://app.astro.lead-studio.pro/product/d2b14644-8c13-4022-bb69-52b840a0d061")</f>
      </c>
    </row>
    <row r="331" spans="1:10" customHeight="0">
      <c r="A331" s="2" t="inlineStr">
        <is>
          <t>Дисковые контроллеры</t>
        </is>
      </c>
      <c r="B331" s="2" t="inlineStr">
        <is>
          <t>BROADCOM</t>
        </is>
      </c>
      <c r="C331" s="2" t="inlineStr">
        <is>
          <t>05-25708-00</t>
        </is>
      </c>
      <c r="D331" s="2" t="inlineStr">
        <is>
          <t>Рейд контроллер SAS PCIE 9361-16I SGL 05-25708-00 LSI</t>
        </is>
      </c>
      <c r="E331" s="2" t="inlineStr">
        <is>
          <t>Нет в наличии</t>
        </is>
      </c>
      <c r="F331" s="2" t="inlineStr">
        <is>
          <t>Нет в наличии</t>
        </is>
      </c>
      <c r="H331" s="2">
        <v>1111</v>
      </c>
      <c r="I331" s="2" t="inlineStr">
        <is>
          <t>$</t>
        </is>
      </c>
      <c r="J331" s="2">
        <f>HYPERLINK("https://app.astro.lead-studio.pro/product/341f5cf9-5d27-40e0-a230-5d5033958102")</f>
      </c>
    </row>
    <row r="332" spans="1:10" customHeight="0">
      <c r="A332" s="2" t="inlineStr">
        <is>
          <t>Дисковые контроллеры</t>
        </is>
      </c>
      <c r="B332" s="2" t="inlineStr">
        <is>
          <t>ADAPTEC</t>
        </is>
      </c>
      <c r="C332" s="2" t="inlineStr">
        <is>
          <t>2277500-R</t>
        </is>
      </c>
      <c r="D332" s="2" t="inlineStr">
        <is>
          <t>Рейд контроллер SAS/SATA PCIE 8805 SG 2277500-R ADAPTEC</t>
        </is>
      </c>
      <c r="E332" s="2">
        <v>10</v>
      </c>
      <c r="F332" s="2">
        <v>10</v>
      </c>
      <c r="H332" s="2">
        <v>437</v>
      </c>
      <c r="I332" s="2" t="inlineStr">
        <is>
          <t>$</t>
        </is>
      </c>
      <c r="J332" s="2">
        <f>HYPERLINK("https://app.astro.lead-studio.pro/product/993ffa30-e16f-4aeb-b6c0-43e5c438432e")</f>
      </c>
    </row>
    <row r="333" spans="1:10" customHeight="0">
      <c r="A333" s="2" t="inlineStr">
        <is>
          <t>Дисковые контроллеры</t>
        </is>
      </c>
      <c r="B333" s="2" t="inlineStr">
        <is>
          <t>BROADCOM</t>
        </is>
      </c>
      <c r="C333" s="2" t="inlineStr">
        <is>
          <t>05-50011-00</t>
        </is>
      </c>
      <c r="D333" s="2" t="inlineStr">
        <is>
          <t>Рейдконтроллер SAS PCIE 12GB/S 9460-16I 05-50011-00 BROADCOM</t>
        </is>
      </c>
      <c r="E333" s="2">
        <v>40</v>
      </c>
      <c r="F333" s="2">
        <v>40</v>
      </c>
      <c r="H333" s="2">
        <v>1016</v>
      </c>
      <c r="I333" s="2" t="inlineStr">
        <is>
          <t>$</t>
        </is>
      </c>
      <c r="J333" s="2">
        <f>HYPERLINK("https://app.astro.lead-studio.pro/product/42ef2b07-dffa-49d2-a077-0f24fbe4a04d")</f>
      </c>
    </row>
    <row r="334" spans="1:10" customHeight="0">
      <c r="A334" s="2" t="inlineStr">
        <is>
          <t>Дисковые контроллеры</t>
        </is>
      </c>
      <c r="B334" s="2" t="inlineStr">
        <is>
          <t>BROADCOM</t>
        </is>
      </c>
      <c r="C334" s="2" t="inlineStr">
        <is>
          <t>LSI00415 05-25420-10</t>
        </is>
      </c>
      <c r="D334" s="2" t="inlineStr">
        <is>
          <t>Рейдконтроллер SAS PCIE 4P 9361-4I 05-25420-10 BROADCOM</t>
        </is>
      </c>
      <c r="E334" s="2" t="inlineStr">
        <is>
          <t>10</t>
        </is>
      </c>
      <c r="F334" s="2" t="inlineStr">
        <is>
          <t>10</t>
        </is>
      </c>
      <c r="H334" s="2">
        <v>503</v>
      </c>
      <c r="I334" s="2" t="inlineStr">
        <is>
          <t>$</t>
        </is>
      </c>
      <c r="J334" s="2">
        <f>HYPERLINK("https://app.astro.lead-studio.pro/product/b61e8100-aebe-4ac3-a436-8ba66d1e8c79")</f>
      </c>
    </row>
    <row r="335" spans="1:10" customHeight="0">
      <c r="A335" s="2" t="inlineStr">
        <is>
          <t>Дисковые контроллеры</t>
        </is>
      </c>
      <c r="B335" s="2" t="inlineStr">
        <is>
          <t>BROADCOM</t>
        </is>
      </c>
      <c r="C335" s="2" t="inlineStr">
        <is>
          <t>LSI00417 05-25420-08</t>
        </is>
      </c>
      <c r="D335" s="2" t="inlineStr">
        <is>
          <t>Рейдконтроллер SAS PCIE 8P 9361-8I 05-25420-08 BROADCOM</t>
        </is>
      </c>
      <c r="E335" s="2">
        <v>100</v>
      </c>
      <c r="F335" s="2">
        <v>100</v>
      </c>
      <c r="H335" s="2">
        <v>407</v>
      </c>
      <c r="I335" s="2" t="inlineStr">
        <is>
          <t>$</t>
        </is>
      </c>
      <c r="J335" s="2">
        <f>HYPERLINK("https://app.astro.lead-studio.pro/product/ee2106bf-7c14-48f6-a901-66157ebaacd0")</f>
      </c>
    </row>
    <row r="336" spans="1:10" customHeight="0">
      <c r="A336" s="2" t="inlineStr">
        <is>
          <t>Дисковые контроллеры</t>
        </is>
      </c>
      <c r="B336" s="2" t="inlineStr">
        <is>
          <t>BROADCOM</t>
        </is>
      </c>
      <c r="C336" s="2" t="inlineStr">
        <is>
          <t>05-50008-01</t>
        </is>
      </c>
      <c r="D336" s="2" t="inlineStr">
        <is>
          <t>Рейдконтроллер SAS PCIE 8P 9400-8I 05-50008-01 BROADCOM</t>
        </is>
      </c>
      <c r="E336" s="2" t="inlineStr">
        <is>
          <t>2</t>
        </is>
      </c>
      <c r="F336" s="2" t="inlineStr">
        <is>
          <t>2</t>
        </is>
      </c>
      <c r="H336" s="2">
        <v>363</v>
      </c>
      <c r="I336" s="2" t="inlineStr">
        <is>
          <t>$</t>
        </is>
      </c>
      <c r="J336" s="2">
        <f>HYPERLINK("https://app.astro.lead-studio.pro/product/dc99ba19-3362-46d4-9982-782320017d06")</f>
      </c>
    </row>
    <row r="337" spans="1:10" customHeight="0">
      <c r="A337" s="2" t="inlineStr">
        <is>
          <t>Дисковые контроллеры</t>
        </is>
      </c>
      <c r="B337" s="2" t="inlineStr">
        <is>
          <t>BROADCOM</t>
        </is>
      </c>
      <c r="C337" s="2" t="inlineStr">
        <is>
          <t>LSI00462 05-25420‐17 2G</t>
        </is>
      </c>
      <c r="D337" s="2" t="inlineStr">
        <is>
          <t>Рейдконтроллер SAS/SATA PCIE 9361-8I 05-25420-08A BROADCOM</t>
        </is>
      </c>
      <c r="E337" s="2" t="inlineStr">
        <is>
          <t>4</t>
        </is>
      </c>
      <c r="F337" s="2" t="inlineStr">
        <is>
          <t>4</t>
        </is>
      </c>
      <c r="H337" s="2">
        <v>513</v>
      </c>
      <c r="I337" s="2" t="inlineStr">
        <is>
          <t>$</t>
        </is>
      </c>
      <c r="J337" s="2">
        <f>HYPERLINK("https://app.astro.lead-studio.pro/product/4e4343dd-805c-4282-ae0c-a9d5b253ca6c")</f>
      </c>
    </row>
    <row r="338" spans="1:10" customHeight="0">
      <c r="A338" s="2" t="inlineStr">
        <is>
          <t>Жесткие диски Enterprise SAS</t>
        </is>
      </c>
      <c r="B338" s="2" t="inlineStr">
        <is>
          <t>SYNOLOGY</t>
        </is>
      </c>
      <c r="C338" s="2" t="inlineStr">
        <is>
          <t>HAS5300-12T</t>
        </is>
      </c>
      <c r="D338" s="2" t="inlineStr">
        <is>
          <t>Жесткий диск SAS 12TB 7200RPM 12GB/S 256MB HAS5300-12T SYNOLOGY</t>
        </is>
      </c>
      <c r="E338" s="2">
        <v>40</v>
      </c>
      <c r="F338" s="2">
        <v>40</v>
      </c>
      <c r="H338" s="2">
        <v>582</v>
      </c>
      <c r="I338" s="2" t="inlineStr">
        <is>
          <t>$</t>
        </is>
      </c>
      <c r="J338" s="2">
        <f>HYPERLINK("https://app.astro.lead-studio.pro/product/b960ff72-c51e-487f-b9b4-7fd90faf2c7e")</f>
      </c>
    </row>
    <row r="339" spans="1:10" customHeight="0">
      <c r="A339" s="2" t="inlineStr">
        <is>
          <t>Жесткие диски Enterprise SAS</t>
        </is>
      </c>
      <c r="B339" s="2" t="inlineStr">
        <is>
          <t>SEAGATE</t>
        </is>
      </c>
      <c r="C339" s="2" t="inlineStr">
        <is>
          <t>ST16000NM004J</t>
        </is>
      </c>
      <c r="D339" s="2" t="inlineStr">
        <is>
          <t>Жесткий диск SAS 16TB 7200RPM 12GB/S 256MB ST16000NM004J SEAGATE</t>
        </is>
      </c>
      <c r="E339" s="2">
        <v>100</v>
      </c>
      <c r="F339" s="2">
        <v>100</v>
      </c>
      <c r="H339" s="2">
        <v>380</v>
      </c>
      <c r="I339" s="2" t="inlineStr">
        <is>
          <t>$</t>
        </is>
      </c>
      <c r="J339" s="2">
        <f>HYPERLINK("https://app.astro.lead-studio.pro/product/76bd0f38-9d35-4c91-b422-12e4c7ec2fec")</f>
      </c>
    </row>
    <row r="340" spans="1:10" customHeight="0">
      <c r="A340" s="2" t="inlineStr">
        <is>
          <t>Жесткие диски Enterprise SAS</t>
        </is>
      </c>
      <c r="B340" s="2" t="inlineStr">
        <is>
          <t>TOSHIBA</t>
        </is>
      </c>
      <c r="C340" s="2" t="inlineStr">
        <is>
          <t>MG08SCA16TE</t>
        </is>
      </c>
      <c r="D340" s="2" t="inlineStr">
        <is>
          <t>Жесткий диск SAS 16TB 7200RPM 12GB/S 512MB MG08SCA16TE TOSHIBA</t>
        </is>
      </c>
      <c r="E340" s="2">
        <v>100</v>
      </c>
      <c r="F340" s="2">
        <v>100</v>
      </c>
      <c r="H340" s="2">
        <v>355</v>
      </c>
      <c r="I340" s="2" t="inlineStr">
        <is>
          <t>$</t>
        </is>
      </c>
      <c r="J340" s="2">
        <f>HYPERLINK("https://app.astro.lead-studio.pro/product/f2604ef2-5ba0-4507-8ec3-80223662573e")</f>
      </c>
    </row>
    <row r="341" spans="1:10" customHeight="0">
      <c r="A341" s="2" t="inlineStr">
        <is>
          <t>Жесткие диски Enterprise SAS</t>
        </is>
      </c>
      <c r="B341" s="2" t="inlineStr">
        <is>
          <t>SEAGATE</t>
        </is>
      </c>
      <c r="C341" s="2" t="inlineStr">
        <is>
          <t>ST18000NM004J</t>
        </is>
      </c>
      <c r="D341" s="2" t="inlineStr">
        <is>
          <t>Жесткий диск SAS 18TB 7200RPM 12GB/S 256MB ST18000NM004J SEAGATE</t>
        </is>
      </c>
      <c r="E341" s="2">
        <v>100</v>
      </c>
      <c r="F341" s="2">
        <v>100</v>
      </c>
      <c r="H341" s="2">
        <v>409</v>
      </c>
      <c r="I341" s="2" t="inlineStr">
        <is>
          <t>$</t>
        </is>
      </c>
      <c r="J341" s="2">
        <f>HYPERLINK("https://app.astro.lead-studio.pro/product/b50ec145-154a-4de2-88b3-06018d31ba20")</f>
      </c>
    </row>
    <row r="342" spans="1:10" customHeight="0">
      <c r="A342" s="2" t="inlineStr">
        <is>
          <t>Жесткие диски Enterprise SAS</t>
        </is>
      </c>
      <c r="B342" s="2" t="inlineStr">
        <is>
          <t>TOSHIBA</t>
        </is>
      </c>
      <c r="C342" s="2" t="inlineStr">
        <is>
          <t>MG09SCA18TE</t>
        </is>
      </c>
      <c r="D342" s="2" t="inlineStr">
        <is>
          <t>Жесткий диск SAS 18TB 7200RPM 12GB/S 512MB MG09SCA18TE TOSHIBA</t>
        </is>
      </c>
      <c r="E342" s="2" t="inlineStr">
        <is>
          <t>1</t>
        </is>
      </c>
      <c r="F342" s="2" t="inlineStr">
        <is>
          <t>1</t>
        </is>
      </c>
      <c r="H342" s="2">
        <v>426</v>
      </c>
      <c r="I342" s="2" t="inlineStr">
        <is>
          <t>$</t>
        </is>
      </c>
      <c r="J342" s="2">
        <f>HYPERLINK("https://app.astro.lead-studio.pro/product/36f22079-d24a-4882-8331-436137183868")</f>
      </c>
    </row>
    <row r="343" spans="1:10" customHeight="0">
      <c r="A343" s="2" t="inlineStr">
        <is>
          <t>Жесткие диски Enterprise SAS</t>
        </is>
      </c>
      <c r="B343" s="2" t="inlineStr">
        <is>
          <t>SEAGATE</t>
        </is>
      </c>
      <c r="C343" s="2" t="inlineStr">
        <is>
          <t>ST20000NM002D</t>
        </is>
      </c>
      <c r="D343" s="2" t="inlineStr">
        <is>
          <t>Жесткий диск SAS 20TB 7200RPM 12GB/S 256MB ST20000NM002D SEAGATE</t>
        </is>
      </c>
      <c r="E343" s="2">
        <v>100</v>
      </c>
      <c r="F343" s="2">
        <v>100</v>
      </c>
      <c r="H343" s="2">
        <v>506</v>
      </c>
      <c r="I343" s="2" t="inlineStr">
        <is>
          <t>$</t>
        </is>
      </c>
      <c r="J343" s="2">
        <f>HYPERLINK("https://app.astro.lead-studio.pro/product/097e0443-5b39-49ca-835d-bcae82fd8c11")</f>
      </c>
    </row>
    <row r="344" spans="1:10" customHeight="0">
      <c r="A344" s="2" t="inlineStr">
        <is>
          <t>Жесткие диски Enterprise SAS</t>
        </is>
      </c>
      <c r="B344" s="2" t="inlineStr">
        <is>
          <t>SYNOLOGY</t>
        </is>
      </c>
      <c r="C344" s="2" t="inlineStr">
        <is>
          <t>HAS5310-20T</t>
        </is>
      </c>
      <c r="D344" s="2" t="inlineStr">
        <is>
          <t>Жесткий диск SAS 20TB 7200RPM 6GB/S HAS5310-20T SYNOLOGY</t>
        </is>
      </c>
      <c r="E344" s="2">
        <v>40</v>
      </c>
      <c r="F344" s="2">
        <v>40</v>
      </c>
      <c r="H344" s="2">
        <v>1225</v>
      </c>
      <c r="I344" s="2" t="inlineStr">
        <is>
          <t>$</t>
        </is>
      </c>
      <c r="J344" s="2">
        <f>HYPERLINK("https://app.astro.lead-studio.pro/product/e70a88bb-7fcd-46ad-9142-668ada815bd8")</f>
      </c>
    </row>
    <row r="345" spans="1:10" customHeight="0">
      <c r="A345" s="2" t="inlineStr">
        <is>
          <t>Жесткие диски Enterprise SAS</t>
        </is>
      </c>
      <c r="B345" s="2" t="inlineStr">
        <is>
          <t>WESTERN DIGITAL ULTRASTAR</t>
        </is>
      </c>
      <c r="C345" s="2" t="inlineStr">
        <is>
          <t>WUH722222AL5204_0F48052</t>
        </is>
      </c>
      <c r="D345" s="2" t="inlineStr">
        <is>
          <t>Жесткий диск SAS 22TB 7200RPM 12GB/S 512MB DC HC570 WUH722222AL5204_0F48052 WD</t>
        </is>
      </c>
      <c r="E345" s="2">
        <v>100</v>
      </c>
      <c r="F345" s="2">
        <v>100</v>
      </c>
      <c r="H345" s="2">
        <v>527</v>
      </c>
      <c r="I345" s="2" t="inlineStr">
        <is>
          <t>$</t>
        </is>
      </c>
      <c r="J345" s="2">
        <f>HYPERLINK("https://app.astro.lead-studio.pro/product/79ba8880-5032-4d7c-ae76-c52a5197d012")</f>
      </c>
    </row>
    <row r="346" spans="1:10" customHeight="0">
      <c r="A346" s="2" t="inlineStr">
        <is>
          <t>Жесткие диски Enterprise SAS</t>
        </is>
      </c>
      <c r="B346" s="2" t="inlineStr">
        <is>
          <t>SEAGATE</t>
        </is>
      </c>
      <c r="C346" s="2" t="inlineStr">
        <is>
          <t>ST22000NM000E</t>
        </is>
      </c>
      <c r="D346" s="2" t="inlineStr">
        <is>
          <t>Жесткий диск SAS 22TB 7200RPM 12GB/S 512MB ST22000NM000E SEAGATE</t>
        </is>
      </c>
      <c r="E346" s="2">
        <v>40</v>
      </c>
      <c r="F346" s="2">
        <v>40</v>
      </c>
      <c r="H346" s="2">
        <v>552</v>
      </c>
      <c r="I346" s="2" t="inlineStr">
        <is>
          <t>$</t>
        </is>
      </c>
      <c r="J346" s="2">
        <f>HYPERLINK("https://app.astro.lead-studio.pro/product/864c04a3-1188-481f-97ab-e269d80f2d5b")</f>
      </c>
    </row>
    <row r="347" spans="1:10" customHeight="0">
      <c r="A347" s="2" t="inlineStr">
        <is>
          <t>Жесткие диски Enterprise SAS</t>
        </is>
      </c>
      <c r="B347" s="2" t="inlineStr">
        <is>
          <t>SYNOLOGY</t>
        </is>
      </c>
      <c r="C347" s="2" t="inlineStr">
        <is>
          <t>HAS5300-8T</t>
        </is>
      </c>
      <c r="D347" s="2" t="inlineStr">
        <is>
          <t>Жесткий диск SAS 8TB 7200RPM 12GB/S 256MB HAS5300-8T SYNOLOGY</t>
        </is>
      </c>
      <c r="E347" s="2">
        <v>40</v>
      </c>
      <c r="F347" s="2">
        <v>40</v>
      </c>
      <c r="H347" s="2">
        <v>439</v>
      </c>
      <c r="I347" s="2" t="inlineStr">
        <is>
          <t>$</t>
        </is>
      </c>
      <c r="J347" s="2">
        <f>HYPERLINK("https://app.astro.lead-studio.pro/product/f5bb900a-b174-4b98-a63e-fb19dfdf6f9f")</f>
      </c>
    </row>
    <row r="348" spans="1:10" customHeight="0">
      <c r="A348" s="2" t="inlineStr">
        <is>
          <t>Жесткие диски Enterprise SATA</t>
        </is>
      </c>
      <c r="B348" s="2" t="inlineStr">
        <is>
          <t>SYNOLOGY</t>
        </is>
      </c>
      <c r="C348" s="2" t="inlineStr">
        <is>
          <t>HAT5300-12T</t>
        </is>
      </c>
      <c r="D348" s="2" t="inlineStr">
        <is>
          <t>Жесткий диск SATA 12TB 7200RPM 6GB/S 512MB HAT5300-12T SYNOLOGY</t>
        </is>
      </c>
      <c r="E348" s="2">
        <v>100</v>
      </c>
      <c r="F348" s="2">
        <v>100</v>
      </c>
      <c r="H348" s="2">
        <v>692</v>
      </c>
      <c r="I348" s="2" t="inlineStr">
        <is>
          <t>$</t>
        </is>
      </c>
      <c r="J348" s="2">
        <f>HYPERLINK("https://app.astro.lead-studio.pro/product/9b41621d-cf02-412c-92ac-ee2f0ca83b71")</f>
      </c>
    </row>
    <row r="349" spans="1:10" customHeight="0">
      <c r="A349" s="2" t="inlineStr">
        <is>
          <t>Жесткие диски Enterprise SATA</t>
        </is>
      </c>
      <c r="B349" s="2" t="inlineStr">
        <is>
          <t>SYNOLOGY</t>
        </is>
      </c>
      <c r="C349" s="2" t="inlineStr">
        <is>
          <t>HAT3310-12T</t>
        </is>
      </c>
      <c r="D349" s="2" t="inlineStr">
        <is>
          <t>Жесткий диск SATA 12TB 7200RPM 6GB/S HAT3310-12T SYNOLOGY</t>
        </is>
      </c>
      <c r="E349" s="2">
        <v>40</v>
      </c>
      <c r="F349" s="2">
        <v>40</v>
      </c>
      <c r="H349" s="2">
        <v>508</v>
      </c>
      <c r="I349" s="2" t="inlineStr">
        <is>
          <t>$</t>
        </is>
      </c>
      <c r="J349" s="2">
        <f>HYPERLINK("https://app.astro.lead-studio.pro/product/a31d5094-062c-4896-af99-d33478dc5c5b")</f>
      </c>
    </row>
    <row r="350" spans="1:10" customHeight="0">
      <c r="A350" s="2" t="inlineStr">
        <is>
          <t>Жесткие диски Enterprise SATA</t>
        </is>
      </c>
      <c r="B350" s="2" t="inlineStr">
        <is>
          <t>SYNOLOGY</t>
        </is>
      </c>
      <c r="C350" s="2" t="inlineStr">
        <is>
          <t>HAT5300-16T</t>
        </is>
      </c>
      <c r="D350" s="2" t="inlineStr">
        <is>
          <t>Жесткий диск SATA 16TB 7200RPM 6GB/S 512MB HAT5300-16T SYNOLOGY</t>
        </is>
      </c>
      <c r="E350" s="2">
        <v>100</v>
      </c>
      <c r="F350" s="2">
        <v>100</v>
      </c>
      <c r="H350" s="2">
        <v>855</v>
      </c>
      <c r="I350" s="2" t="inlineStr">
        <is>
          <t>$</t>
        </is>
      </c>
      <c r="J350" s="2">
        <f>HYPERLINK("https://app.astro.lead-studio.pro/product/9609433f-1a89-492f-974d-e80b6a7eea92")</f>
      </c>
    </row>
    <row r="351" spans="1:10" customHeight="0">
      <c r="A351" s="2" t="inlineStr">
        <is>
          <t>Жесткие диски Enterprise SATA</t>
        </is>
      </c>
      <c r="B351" s="2" t="inlineStr">
        <is>
          <t>TOSHIBA</t>
        </is>
      </c>
      <c r="C351" s="2" t="inlineStr">
        <is>
          <t>MG08ACA16TE</t>
        </is>
      </c>
      <c r="D351" s="2" t="inlineStr">
        <is>
          <t>Жесткий диск SATA 16TB 7200RPM 6GB/S 512MB MG08ACA16TE TOSHIBA</t>
        </is>
      </c>
      <c r="E351" s="2">
        <v>100</v>
      </c>
      <c r="F351" s="2">
        <v>100</v>
      </c>
      <c r="H351" s="2">
        <v>340</v>
      </c>
      <c r="I351" s="2" t="inlineStr">
        <is>
          <t>$</t>
        </is>
      </c>
      <c r="J351" s="2">
        <f>HYPERLINK("https://app.astro.lead-studio.pro/product/102f7667-6d11-4141-b300-d6cd62dfd3c9")</f>
      </c>
    </row>
    <row r="352" spans="1:10" customHeight="0">
      <c r="A352" s="2" t="inlineStr">
        <is>
          <t>Жесткие диски Enterprise SATA</t>
        </is>
      </c>
      <c r="B352" s="2" t="inlineStr">
        <is>
          <t>SYNOLOGY</t>
        </is>
      </c>
      <c r="C352" s="2" t="inlineStr">
        <is>
          <t>HAT3310-16T</t>
        </is>
      </c>
      <c r="D352" s="2" t="inlineStr">
        <is>
          <t>Жесткий диск SATA 16TB 7200RPM 6GB/S HAT3310-16T SYNOLOGY</t>
        </is>
      </c>
      <c r="E352" s="2">
        <v>40</v>
      </c>
      <c r="F352" s="2">
        <v>40</v>
      </c>
      <c r="H352" s="2">
        <v>567</v>
      </c>
      <c r="I352" s="2" t="inlineStr">
        <is>
          <t>$</t>
        </is>
      </c>
      <c r="J352" s="2">
        <f>HYPERLINK("https://app.astro.lead-studio.pro/product/57fe669f-1c32-4f5e-bbf0-d265e80dacb6")</f>
      </c>
    </row>
    <row r="353" spans="1:10" customHeight="0">
      <c r="A353" s="2" t="inlineStr">
        <is>
          <t>Жесткие диски Enterprise SATA</t>
        </is>
      </c>
      <c r="B353" s="2" t="inlineStr">
        <is>
          <t>TOSHIBA</t>
        </is>
      </c>
      <c r="C353" s="2" t="inlineStr">
        <is>
          <t>MG09ACA18TE</t>
        </is>
      </c>
      <c r="D353" s="2" t="inlineStr">
        <is>
          <t>Жесткий диск SATA 18TB 7200RPM 6GB/S 512MB MG09ACA18TE TOSHIBA</t>
        </is>
      </c>
      <c r="E353" s="2">
        <v>10</v>
      </c>
      <c r="F353" s="2">
        <v>10</v>
      </c>
      <c r="H353" s="2">
        <v>393</v>
      </c>
      <c r="I353" s="2" t="inlineStr">
        <is>
          <t>$</t>
        </is>
      </c>
      <c r="J353" s="2">
        <f>HYPERLINK("https://app.astro.lead-studio.pro/product/f787eb64-e57f-4a83-8a97-086c41bc1962")</f>
      </c>
    </row>
    <row r="354" spans="1:10" customHeight="0">
      <c r="A354" s="2" t="inlineStr">
        <is>
          <t>Жесткие диски Enterprise SATA</t>
        </is>
      </c>
      <c r="B354" s="2" t="inlineStr">
        <is>
          <t>SEAGATE</t>
        </is>
      </c>
      <c r="C354" s="2" t="inlineStr">
        <is>
          <t>ST20000NM007D</t>
        </is>
      </c>
      <c r="D354" s="2" t="inlineStr">
        <is>
          <t>Жесткий диск SATA 20TB 7200RPM 6GB/S 256MB ST20000NM007D SEAGATE</t>
        </is>
      </c>
      <c r="E354" s="2">
        <v>100</v>
      </c>
      <c r="F354" s="2">
        <v>100</v>
      </c>
      <c r="H354" s="2">
        <v>438</v>
      </c>
      <c r="I354" s="2" t="inlineStr">
        <is>
          <t>$</t>
        </is>
      </c>
      <c r="J354" s="2">
        <f>HYPERLINK("https://app.astro.lead-studio.pro/product/fe54196c-ecb6-4dd2-9e08-4abcb7a15f49")</f>
      </c>
    </row>
    <row r="355" spans="1:10" customHeight="0">
      <c r="A355" s="2" t="inlineStr">
        <is>
          <t>Жесткие диски Enterprise SATA</t>
        </is>
      </c>
      <c r="B355" s="2" t="inlineStr">
        <is>
          <t>WESTERN DIGITAL ULTRASTAR</t>
        </is>
      </c>
      <c r="C355" s="2" t="inlineStr">
        <is>
          <t>WUH722020BLE604_0F38765</t>
        </is>
      </c>
      <c r="D355" s="2" t="inlineStr">
        <is>
          <t>Жесткий диск SATA 20TB 7200RPM 6GB/S 512MB DC HC560 0F38765 WD</t>
        </is>
      </c>
      <c r="E355" s="2">
        <v>100</v>
      </c>
      <c r="F355" s="2">
        <v>100</v>
      </c>
      <c r="H355" s="2">
        <v>428</v>
      </c>
      <c r="I355" s="2" t="inlineStr">
        <is>
          <t>$</t>
        </is>
      </c>
      <c r="J355" s="2">
        <f>HYPERLINK("https://app.astro.lead-studio.pro/product/9abb8b18-1ff0-4761-b1e1-aef7b0bdde57")</f>
      </c>
    </row>
    <row r="356" spans="1:10" customHeight="0">
      <c r="A356" s="2" t="inlineStr">
        <is>
          <t>Жесткие диски Enterprise SATA</t>
        </is>
      </c>
      <c r="B356" s="2" t="inlineStr">
        <is>
          <t>TOSHIBA</t>
        </is>
      </c>
      <c r="C356" s="2" t="inlineStr">
        <is>
          <t>MG10ACA20TE</t>
        </is>
      </c>
      <c r="D356" s="2" t="inlineStr">
        <is>
          <t>Жесткий диск SATA 20TB 7200RPM 6GB/S 512MB MG10ACA20TE TOSHIBA</t>
        </is>
      </c>
      <c r="E356" s="2">
        <v>100</v>
      </c>
      <c r="F356" s="2">
        <v>100</v>
      </c>
      <c r="H356" s="2">
        <v>421</v>
      </c>
      <c r="I356" s="2" t="inlineStr">
        <is>
          <t>$</t>
        </is>
      </c>
      <c r="J356" s="2">
        <f>HYPERLINK("https://app.astro.lead-studio.pro/product/bf3c6c38-df1b-427d-9c9a-92ba78ccd7b3")</f>
      </c>
    </row>
    <row r="357" spans="1:10" customHeight="0">
      <c r="A357" s="2" t="inlineStr">
        <is>
          <t>Жесткие диски Enterprise SATA</t>
        </is>
      </c>
      <c r="B357" s="2" t="inlineStr">
        <is>
          <t>SYNOLOGY</t>
        </is>
      </c>
      <c r="C357" s="2" t="inlineStr">
        <is>
          <t>HAT5310-20T</t>
        </is>
      </c>
      <c r="D357" s="2" t="inlineStr">
        <is>
          <t>Жесткий диск SATA 20TB 7200RPM 6GB/S HAT5310-20T SYNOLOGY</t>
        </is>
      </c>
      <c r="E357" s="2">
        <v>100</v>
      </c>
      <c r="F357" s="2">
        <v>100</v>
      </c>
      <c r="H357" s="2">
        <v>1146</v>
      </c>
      <c r="I357" s="2" t="inlineStr">
        <is>
          <t>$</t>
        </is>
      </c>
      <c r="J357" s="2">
        <f>HYPERLINK("https://app.astro.lead-studio.pro/product/049bba32-2b08-4d73-9e32-eb9ebc9d5866")</f>
      </c>
    </row>
    <row r="358" spans="1:10" customHeight="0">
      <c r="A358" s="2" t="inlineStr">
        <is>
          <t>Жесткие диски Enterprise SATA</t>
        </is>
      </c>
      <c r="B358" s="2" t="inlineStr">
        <is>
          <t>SEAGATE</t>
        </is>
      </c>
      <c r="C358" s="2" t="inlineStr">
        <is>
          <t>ST20000NM002H</t>
        </is>
      </c>
      <c r="D358" s="2" t="inlineStr">
        <is>
          <t>Жесткий диск SATA 20TB EXOS X24 7200RPM 512MB ST20000NM002H SEAGATE</t>
        </is>
      </c>
      <c r="E358" s="2">
        <v>100</v>
      </c>
      <c r="F358" s="2">
        <v>100</v>
      </c>
      <c r="H358" s="2">
        <v>440</v>
      </c>
      <c r="I358" s="2" t="inlineStr">
        <is>
          <t>$</t>
        </is>
      </c>
      <c r="J358" s="2">
        <f>HYPERLINK("https://app.astro.lead-studio.pro/product/e9d9e49f-3334-4c0b-8d29-7bdf41c07ee0")</f>
      </c>
    </row>
    <row r="359" spans="1:10" customHeight="0">
      <c r="A359" s="2" t="inlineStr">
        <is>
          <t>Жесткие диски Enterprise SATA</t>
        </is>
      </c>
      <c r="B359" s="2" t="inlineStr">
        <is>
          <t>SEAGATE</t>
        </is>
      </c>
      <c r="C359" s="2" t="inlineStr">
        <is>
          <t>ST22000NM001E</t>
        </is>
      </c>
      <c r="D359" s="2" t="inlineStr">
        <is>
          <t>Жесткий диск SATA 22TB 7200RPM 6GB/S 512MB ST22000NM001E SEAGATE</t>
        </is>
      </c>
      <c r="E359" s="2">
        <v>40</v>
      </c>
      <c r="F359" s="2">
        <v>40</v>
      </c>
      <c r="H359" s="2">
        <v>541</v>
      </c>
      <c r="I359" s="2" t="inlineStr">
        <is>
          <t>$</t>
        </is>
      </c>
      <c r="J359" s="2">
        <f>HYPERLINK("https://app.astro.lead-studio.pro/product/c8f60820-c709-4c98-9fa1-44be0054c279")</f>
      </c>
    </row>
    <row r="360" spans="1:10" customHeight="0">
      <c r="A360" s="2" t="inlineStr">
        <is>
          <t>Жесткие диски Enterprise SATA</t>
        </is>
      </c>
      <c r="B360" s="2" t="inlineStr">
        <is>
          <t>SYNOLOGY</t>
        </is>
      </c>
      <c r="C360" s="2" t="inlineStr">
        <is>
          <t>HAT5310-8T</t>
        </is>
      </c>
      <c r="D360" s="2" t="inlineStr">
        <is>
          <t>Жесткий диск SATA 8TB 7200RPM 6GB/S 256MB HAT5310-8T SYNOLOGY</t>
        </is>
      </c>
      <c r="E360" s="2">
        <v>100</v>
      </c>
      <c r="F360" s="2">
        <v>100</v>
      </c>
      <c r="H360" s="2">
        <v>443</v>
      </c>
      <c r="I360" s="2" t="inlineStr">
        <is>
          <t>$</t>
        </is>
      </c>
      <c r="J360" s="2">
        <f>HYPERLINK("https://app.astro.lead-studio.pro/product/6c521e2c-d9ec-4b17-84f8-f32814bdbe19")</f>
      </c>
    </row>
    <row r="361" spans="1:10" customHeight="0">
      <c r="A361" s="2" t="inlineStr">
        <is>
          <t>Жесткие диски Enterprise SATA</t>
        </is>
      </c>
      <c r="B361" s="2" t="inlineStr">
        <is>
          <t>SYNOLOGY</t>
        </is>
      </c>
      <c r="C361" s="2" t="inlineStr">
        <is>
          <t>HAT3310-8T</t>
        </is>
      </c>
      <c r="D361" s="2" t="inlineStr">
        <is>
          <t>Жесткий диск SATA 8TB 7200RPM 6GB/S HAT3310-8T SYNOLOGY</t>
        </is>
      </c>
      <c r="E361" s="2">
        <v>40</v>
      </c>
      <c r="F361" s="2">
        <v>40</v>
      </c>
      <c r="H361" s="2">
        <v>371</v>
      </c>
      <c r="I361" s="2" t="inlineStr">
        <is>
          <t>$</t>
        </is>
      </c>
      <c r="J361" s="2">
        <f>HYPERLINK("https://app.astro.lead-studio.pro/product/2d8da5c9-6642-4b59-9260-4c449d10aa57")</f>
      </c>
    </row>
    <row r="362" spans="1:10" customHeight="0">
      <c r="A362" s="2" t="inlineStr">
        <is>
          <t>Жесткие диски Enterprise SATA</t>
        </is>
      </c>
      <c r="B362" s="2" t="inlineStr">
        <is>
          <t>HUAWEI</t>
        </is>
      </c>
      <c r="C362" s="2" t="inlineStr">
        <is>
          <t>02311SXE</t>
        </is>
      </c>
      <c r="D362" s="2" t="inlineStr">
        <is>
          <t>Серверный HDD+TRAY 10TB/7200 SATA3 3.5/3.5" 02311SXE HUAWEI</t>
        </is>
      </c>
      <c r="E362" s="2" t="inlineStr">
        <is>
          <t>7</t>
        </is>
      </c>
      <c r="F362" s="2" t="inlineStr">
        <is>
          <t>7</t>
        </is>
      </c>
      <c r="H362" s="2">
        <v>808</v>
      </c>
      <c r="I362" s="2" t="inlineStr">
        <is>
          <t>$</t>
        </is>
      </c>
      <c r="J362" s="2">
        <f>HYPERLINK("https://app.astro.lead-studio.pro/product/5a628d49-1f13-4a19-851d-f8c71f8d0206")</f>
      </c>
    </row>
    <row r="363" spans="1:10" customHeight="0">
      <c r="A363" s="2" t="inlineStr">
        <is>
          <t>Кабели для серверов</t>
        </is>
      </c>
      <c r="B363" s="2" t="inlineStr">
        <is>
          <t>MELLANOX</t>
        </is>
      </c>
      <c r="C363" s="2" t="inlineStr">
        <is>
          <t>MFS1S00-H010V</t>
        </is>
      </c>
      <c r="D363" s="2" t="inlineStr">
        <is>
          <t>Кабель ACTIVE FIBER MFS1S00-H010V MELLANOX</t>
        </is>
      </c>
      <c r="E363" s="2" t="inlineStr">
        <is>
          <t>2</t>
        </is>
      </c>
      <c r="F363" s="2" t="inlineStr">
        <is>
          <t>2</t>
        </is>
      </c>
      <c r="H363" s="2">
        <v>1250</v>
      </c>
      <c r="I363" s="2" t="inlineStr">
        <is>
          <t>$</t>
        </is>
      </c>
      <c r="J363" s="2">
        <f>HYPERLINK("https://app.astro.lead-studio.pro/product/5a8d78fc-49ab-45cd-97c9-3aa560f54d09")</f>
      </c>
    </row>
    <row r="364" spans="1:10" customHeight="0">
      <c r="A364" s="2" t="inlineStr">
        <is>
          <t>Кабели для серверов</t>
        </is>
      </c>
      <c r="B364" s="2" t="inlineStr">
        <is>
          <t>MELLANOX</t>
        </is>
      </c>
      <c r="C364" s="2" t="inlineStr">
        <is>
          <t>MFS1S00-H020V</t>
        </is>
      </c>
      <c r="D364" s="2" t="inlineStr">
        <is>
          <t>Кабель ACTIVE FIBER MFS1S00-H020V MELLANOX</t>
        </is>
      </c>
      <c r="E364" s="2" t="inlineStr">
        <is>
          <t>2</t>
        </is>
      </c>
      <c r="F364" s="2" t="inlineStr">
        <is>
          <t>2</t>
        </is>
      </c>
      <c r="H364" s="2">
        <v>1431</v>
      </c>
      <c r="I364" s="2" t="inlineStr">
        <is>
          <t>$</t>
        </is>
      </c>
      <c r="J364" s="2">
        <f>HYPERLINK("https://app.astro.lead-studio.pro/product/51366ee6-4ac2-4b40-bf44-d4ee8e41dc93")</f>
      </c>
    </row>
    <row r="365" spans="1:10" customHeight="0">
      <c r="A365" s="2" t="inlineStr">
        <is>
          <t>Кабели для серверов</t>
        </is>
      </c>
      <c r="B365" s="2" t="inlineStr">
        <is>
          <t>GIGABYTE</t>
        </is>
      </c>
      <c r="C365" s="2" t="inlineStr">
        <is>
          <t>MFS1S00-H030V</t>
        </is>
      </c>
      <c r="D365" s="2" t="inlineStr">
        <is>
          <t>Кабель ACTIVE FIBER MFS1S00-H030V GIGABYTE</t>
        </is>
      </c>
      <c r="E365" s="2" t="inlineStr">
        <is>
          <t>2</t>
        </is>
      </c>
      <c r="F365" s="2" t="inlineStr">
        <is>
          <t>2</t>
        </is>
      </c>
      <c r="H365" s="2">
        <v>1365</v>
      </c>
      <c r="I365" s="2" t="inlineStr">
        <is>
          <t>$</t>
        </is>
      </c>
      <c r="J365" s="2">
        <f>HYPERLINK("https://app.astro.lead-studio.pro/product/9854922c-67f1-4c63-8765-552ce2f1d04d")</f>
      </c>
    </row>
    <row r="366" spans="1:10" customHeight="0">
      <c r="A366" s="2" t="inlineStr">
        <is>
          <t>Материнские платы для серверов</t>
        </is>
      </c>
      <c r="B366" s="2" t="inlineStr">
        <is>
          <t>SUPERMICRO</t>
        </is>
      </c>
      <c r="C366" s="2" t="inlineStr">
        <is>
          <t>MBD-X11SSD-F-P</t>
        </is>
      </c>
      <c r="D366" s="2" t="inlineStr">
        <is>
          <t>Серверная материнская плата C236 S1151 PROP. MBD-X11SSD-F-P SUPERMICRO</t>
        </is>
      </c>
      <c r="E366" s="2" t="inlineStr">
        <is>
          <t>Нет в наличии</t>
        </is>
      </c>
      <c r="F366" s="2" t="inlineStr">
        <is>
          <t>Нет в наличии</t>
        </is>
      </c>
      <c r="H366" s="2">
        <v>450</v>
      </c>
      <c r="I366" s="2" t="inlineStr">
        <is>
          <t>$</t>
        </is>
      </c>
      <c r="J366" s="2">
        <f>HYPERLINK("https://app.astro.lead-studio.pro/product/24ca651d-a9ad-4f15-8f02-2f144b15a03d")</f>
      </c>
    </row>
    <row r="367" spans="1:10" customHeight="0">
      <c r="A367" s="2" t="inlineStr">
        <is>
          <t>Материнские платы для серверов</t>
        </is>
      </c>
      <c r="B367" s="2" t="inlineStr">
        <is>
          <t>SUPERMICRO</t>
        </is>
      </c>
      <c r="C367" s="2" t="inlineStr">
        <is>
          <t>MBD-X11SSE-F-P</t>
        </is>
      </c>
      <c r="D367" s="2" t="inlineStr">
        <is>
          <t>Серверная материнская плата C236 S1151 PROP. MBD-X11SSE-F-P SUPERMICRO</t>
        </is>
      </c>
      <c r="E367" s="2" t="inlineStr">
        <is>
          <t>Нет в наличии</t>
        </is>
      </c>
      <c r="F367" s="2" t="inlineStr">
        <is>
          <t>Нет в наличии</t>
        </is>
      </c>
      <c r="H367" s="2">
        <v>531</v>
      </c>
      <c r="I367" s="2" t="inlineStr">
        <is>
          <t>$</t>
        </is>
      </c>
      <c r="J367" s="2">
        <f>HYPERLINK("https://app.astro.lead-studio.pro/product/e7593c91-d1a2-4c42-bbbe-bfacfab7902d")</f>
      </c>
    </row>
    <row r="368" spans="1:10" customHeight="0">
      <c r="A368" s="2" t="inlineStr">
        <is>
          <t>Материнские платы для серверов</t>
        </is>
      </c>
      <c r="B368" s="2" t="inlineStr">
        <is>
          <t>SUPERMICRO</t>
        </is>
      </c>
      <c r="C368" s="2" t="inlineStr">
        <is>
          <t>MBD-X11SCE-F-P</t>
        </is>
      </c>
      <c r="D368" s="2" t="inlineStr">
        <is>
          <t>Серверная материнская плата C246 S1151 PROP. MBD-X11SCE-F-P SUPERMICRO</t>
        </is>
      </c>
      <c r="E368" s="2" t="inlineStr">
        <is>
          <t>Нет в наличии</t>
        </is>
      </c>
      <c r="F368" s="2" t="inlineStr">
        <is>
          <t>Нет в наличии</t>
        </is>
      </c>
      <c r="H368" s="2">
        <v>441</v>
      </c>
      <c r="I368" s="2" t="inlineStr">
        <is>
          <t>$</t>
        </is>
      </c>
      <c r="J368" s="2">
        <f>HYPERLINK("https://app.astro.lead-studio.pro/product/f06b0629-101c-474e-ad31-b3f946065546")</f>
      </c>
    </row>
    <row r="369" spans="1:10" customHeight="0">
      <c r="A369" s="2" t="inlineStr">
        <is>
          <t>Материнские платы для серверов</t>
        </is>
      </c>
      <c r="B369" s="2" t="inlineStr">
        <is>
          <t>SUPERMICRO</t>
        </is>
      </c>
      <c r="C369" s="2" t="inlineStr">
        <is>
          <t>MBD-X11DPL-I-P</t>
        </is>
      </c>
      <c r="D369" s="2" t="inlineStr">
        <is>
          <t>Серверная материнская плата C621 S3647 ATX MBD-X11DPL-I-P SUPERMICRO</t>
        </is>
      </c>
      <c r="E369" s="2" t="inlineStr">
        <is>
          <t>Нет в наличии</t>
        </is>
      </c>
      <c r="F369" s="2" t="inlineStr">
        <is>
          <t>Нет в наличии</t>
        </is>
      </c>
      <c r="H369" s="2">
        <v>694</v>
      </c>
      <c r="I369" s="2" t="inlineStr">
        <is>
          <t>$</t>
        </is>
      </c>
      <c r="J369" s="2">
        <f>HYPERLINK("https://app.astro.lead-studio.pro/product/87b197b5-c9d5-47f7-af13-b532af23b165")</f>
      </c>
    </row>
    <row r="370" spans="1:10" customHeight="0">
      <c r="A370" s="2" t="inlineStr">
        <is>
          <t>Материнские платы для серверов</t>
        </is>
      </c>
      <c r="B370" s="2" t="inlineStr">
        <is>
          <t>SUPERMICRO</t>
        </is>
      </c>
      <c r="C370" s="2" t="inlineStr">
        <is>
          <t>MBD-X11DDW-L-P</t>
        </is>
      </c>
      <c r="D370" s="2" t="inlineStr">
        <is>
          <t>Серверная материнская плата C621 S3647 MBD-X11DDW-L-P SUPERMICRO</t>
        </is>
      </c>
      <c r="E370" s="2" t="inlineStr">
        <is>
          <t>Нет в наличии</t>
        </is>
      </c>
      <c r="F370" s="2" t="inlineStr">
        <is>
          <t>Нет в наличии</t>
        </is>
      </c>
      <c r="H370" s="2">
        <v>597</v>
      </c>
      <c r="I370" s="2" t="inlineStr">
        <is>
          <t>$</t>
        </is>
      </c>
      <c r="J370" s="2">
        <f>HYPERLINK("https://app.astro.lead-studio.pro/product/05f5de78-6f24-4927-9557-e92636fb4cd3")</f>
      </c>
    </row>
    <row r="371" spans="1:10" customHeight="0">
      <c r="A371" s="2" t="inlineStr">
        <is>
          <t>Материнские платы для серверов</t>
        </is>
      </c>
      <c r="B371" s="2" t="inlineStr">
        <is>
          <t>SUPERMICRO</t>
        </is>
      </c>
      <c r="C371" s="2" t="inlineStr">
        <is>
          <t>MBD-X12DAI-N6-B</t>
        </is>
      </c>
      <c r="D371" s="2" t="inlineStr">
        <is>
          <t>Серверная материнская плата C621A S4189 MBD-X12DAI-N6-B SUPERMICRO</t>
        </is>
      </c>
      <c r="E371" s="2" t="inlineStr">
        <is>
          <t>Нет в наличии</t>
        </is>
      </c>
      <c r="F371" s="2" t="inlineStr">
        <is>
          <t>Нет в наличии</t>
        </is>
      </c>
      <c r="H371" s="2">
        <v>1099</v>
      </c>
      <c r="I371" s="2" t="inlineStr">
        <is>
          <t>$</t>
        </is>
      </c>
      <c r="J371" s="2">
        <f>HYPERLINK("https://app.astro.lead-studio.pro/product/1b87d98e-fc24-431f-9eed-d180bf7950bc")</f>
      </c>
    </row>
    <row r="372" spans="1:10" customHeight="0">
      <c r="A372" s="2" t="inlineStr">
        <is>
          <t>Материнские платы для серверов</t>
        </is>
      </c>
      <c r="B372" s="2" t="inlineStr">
        <is>
          <t>SUPERMICRO</t>
        </is>
      </c>
      <c r="C372" s="2" t="inlineStr">
        <is>
          <t>MBD-X12DPI-N6-B</t>
        </is>
      </c>
      <c r="D372" s="2" t="inlineStr">
        <is>
          <t>Серверная материнская плата C621A S4189 MBD-X12DPI-N6-B SUPERMICRO</t>
        </is>
      </c>
      <c r="E372" s="2">
        <v>10</v>
      </c>
      <c r="F372" s="2">
        <v>10</v>
      </c>
      <c r="H372" s="2">
        <v>1051</v>
      </c>
      <c r="I372" s="2" t="inlineStr">
        <is>
          <t>$</t>
        </is>
      </c>
      <c r="J372" s="2">
        <f>HYPERLINK("https://app.astro.lead-studio.pro/product/75ea477b-0817-44fe-9363-39d318060ade")</f>
      </c>
    </row>
    <row r="373" spans="1:10" customHeight="0">
      <c r="A373" s="2" t="inlineStr">
        <is>
          <t>Материнские платы для серверов</t>
        </is>
      </c>
      <c r="B373" s="2" t="inlineStr">
        <is>
          <t>SUPERMICRO</t>
        </is>
      </c>
      <c r="C373" s="2" t="inlineStr">
        <is>
          <t>MBD-X11DPH-I-B</t>
        </is>
      </c>
      <c r="D373" s="2" t="inlineStr">
        <is>
          <t>Серверная материнская плата C624 S3647 EATX SET BLK MBD-X11DPH-I-B SUPERMICRO</t>
        </is>
      </c>
      <c r="E373" s="2" t="inlineStr">
        <is>
          <t>2</t>
        </is>
      </c>
      <c r="F373" s="2" t="inlineStr">
        <is>
          <t>2</t>
        </is>
      </c>
      <c r="H373" s="2">
        <v>962</v>
      </c>
      <c r="I373" s="2" t="inlineStr">
        <is>
          <t>$</t>
        </is>
      </c>
      <c r="J373" s="2">
        <f>HYPERLINK("https://app.astro.lead-studio.pro/product/cc1dc207-3107-4109-88d7-145e95c6097b")</f>
      </c>
    </row>
    <row r="374" spans="1:10" customHeight="0">
      <c r="A374" s="2" t="inlineStr">
        <is>
          <t>Материнские платы для серверов</t>
        </is>
      </c>
      <c r="B374" s="2" t="inlineStr">
        <is>
          <t>SUPERMICRO</t>
        </is>
      </c>
      <c r="C374" s="2" t="inlineStr">
        <is>
          <t>MBD-X13DAI-T-B</t>
        </is>
      </c>
      <c r="D374" s="2" t="inlineStr">
        <is>
          <t>Серверная материнская плата DUAL LGA4677 MBD-X13DAI-T-B SUPERMICRO</t>
        </is>
      </c>
      <c r="E374" s="2" t="inlineStr">
        <is>
          <t>2</t>
        </is>
      </c>
      <c r="F374" s="2" t="inlineStr">
        <is>
          <t>2</t>
        </is>
      </c>
      <c r="H374" s="2">
        <v>1557</v>
      </c>
      <c r="I374" s="2" t="inlineStr">
        <is>
          <t>$</t>
        </is>
      </c>
      <c r="J374" s="2">
        <f>HYPERLINK("https://app.astro.lead-studio.pro/product/18276c37-3580-4bae-aa71-d36484092128")</f>
      </c>
    </row>
    <row r="375" spans="1:10" customHeight="0">
      <c r="A375" s="2" t="inlineStr">
        <is>
          <t>Материнские платы для серверов</t>
        </is>
      </c>
      <c r="B375" s="2" t="inlineStr">
        <is>
          <t>SUPERMICRO</t>
        </is>
      </c>
      <c r="C375" s="2" t="inlineStr">
        <is>
          <t>MBD-H13SSL-N-B</t>
        </is>
      </c>
      <c r="D375" s="2" t="inlineStr">
        <is>
          <t>Серверная материнская плата MBD-H13SSL-N-B SUPERMICRO</t>
        </is>
      </c>
      <c r="E375" s="2" t="inlineStr">
        <is>
          <t>1</t>
        </is>
      </c>
      <c r="F375" s="2" t="inlineStr">
        <is>
          <t>1</t>
        </is>
      </c>
      <c r="H375" s="2">
        <v>1037</v>
      </c>
      <c r="I375" s="2" t="inlineStr">
        <is>
          <t>$</t>
        </is>
      </c>
      <c r="J375" s="2">
        <f>HYPERLINK("https://app.astro.lead-studio.pro/product/c2da00ff-aa09-4137-8f4a-518994093bca")</f>
      </c>
    </row>
    <row r="376" spans="1:10" customHeight="0">
      <c r="A376" s="2" t="inlineStr">
        <is>
          <t>Модули памяти для СХД</t>
        </is>
      </c>
      <c r="B376" s="2" t="inlineStr">
        <is>
          <t>SYNOLOGY</t>
        </is>
      </c>
      <c r="C376" s="2" t="inlineStr">
        <is>
          <t>D4EC-2666-16G</t>
        </is>
      </c>
      <c r="D376" s="2" t="inlineStr">
        <is>
          <t>Модуль памяти для СХД DDR4 16GB D4EC-2666-16G SYNOLOGY</t>
        </is>
      </c>
      <c r="E376" s="2" t="inlineStr">
        <is>
          <t>2</t>
        </is>
      </c>
      <c r="F376" s="2" t="inlineStr">
        <is>
          <t>2</t>
        </is>
      </c>
      <c r="H376" s="2">
        <v>584</v>
      </c>
      <c r="I376" s="2" t="inlineStr">
        <is>
          <t>$</t>
        </is>
      </c>
      <c r="J376" s="2">
        <f>HYPERLINK("https://app.astro.lead-studio.pro/product/ced96d9c-170d-4a0f-899a-559e833a8c92")</f>
      </c>
    </row>
    <row r="377" spans="1:10" customHeight="0">
      <c r="A377" s="2" t="inlineStr">
        <is>
          <t>Модули памяти для СХД</t>
        </is>
      </c>
      <c r="B377" s="2" t="inlineStr">
        <is>
          <t>SYNOLOGY</t>
        </is>
      </c>
      <c r="C377" s="2" t="inlineStr">
        <is>
          <t>D4ER01-16G</t>
        </is>
      </c>
      <c r="D377" s="2" t="inlineStr">
        <is>
          <t>Модуль памяти для СХД DDR4 16GB D4ER01-16G SYNOLOGY</t>
        </is>
      </c>
      <c r="E377" s="2" t="inlineStr">
        <is>
          <t>3</t>
        </is>
      </c>
      <c r="F377" s="2" t="inlineStr">
        <is>
          <t>3</t>
        </is>
      </c>
      <c r="H377" s="2">
        <v>564</v>
      </c>
      <c r="I377" s="2" t="inlineStr">
        <is>
          <t>$</t>
        </is>
      </c>
      <c r="J377" s="2">
        <f>HYPERLINK("https://app.astro.lead-studio.pro/product/237a62c8-a797-4eaf-a525-cdd2f4037573")</f>
      </c>
    </row>
    <row r="378" spans="1:10" customHeight="0">
      <c r="A378" s="2" t="inlineStr">
        <is>
          <t>Модули памяти для СХД</t>
        </is>
      </c>
      <c r="B378" s="2" t="inlineStr">
        <is>
          <t>SYNOLOGY</t>
        </is>
      </c>
      <c r="C378" s="2" t="inlineStr">
        <is>
          <t>D4RD-2666-16G</t>
        </is>
      </c>
      <c r="D378" s="2" t="inlineStr">
        <is>
          <t>Модуль памяти для СХД DDR4 16GB D4RD-2666-16G SYNOLOGY</t>
        </is>
      </c>
      <c r="E378" s="2" t="inlineStr">
        <is>
          <t>6</t>
        </is>
      </c>
      <c r="F378" s="2" t="inlineStr">
        <is>
          <t>6</t>
        </is>
      </c>
      <c r="H378" s="2">
        <v>579</v>
      </c>
      <c r="I378" s="2" t="inlineStr">
        <is>
          <t>$</t>
        </is>
      </c>
      <c r="J378" s="2">
        <f>HYPERLINK("https://app.astro.lead-studio.pro/product/c599b4af-9ec5-495a-af3e-b4fbdfb09449")</f>
      </c>
    </row>
    <row r="379" spans="1:10" customHeight="0">
      <c r="A379" s="2" t="inlineStr">
        <is>
          <t>Модули памяти для СХД</t>
        </is>
      </c>
      <c r="B379" s="2" t="inlineStr">
        <is>
          <t>SYNOLOGY</t>
        </is>
      </c>
      <c r="C379" s="2" t="inlineStr">
        <is>
          <t>D4ECSO-2666-16G</t>
        </is>
      </c>
      <c r="D379" s="2" t="inlineStr">
        <is>
          <t>Модуль памяти для СХД DDR4 16GB SO D4ECSO-2666-16G SYNOLOGY</t>
        </is>
      </c>
      <c r="E379" s="2">
        <v>10</v>
      </c>
      <c r="F379" s="2">
        <v>10</v>
      </c>
      <c r="H379" s="2">
        <v>574</v>
      </c>
      <c r="I379" s="2" t="inlineStr">
        <is>
          <t>$</t>
        </is>
      </c>
      <c r="J379" s="2">
        <f>HYPERLINK("https://app.astro.lead-studio.pro/product/0020f425-1f98-4ad2-9134-987dca121739")</f>
      </c>
    </row>
    <row r="380" spans="1:10" customHeight="0">
      <c r="A380" s="2" t="inlineStr">
        <is>
          <t>Модули памяти для СХД</t>
        </is>
      </c>
      <c r="B380" s="2" t="inlineStr">
        <is>
          <t>SYNOLOGY</t>
        </is>
      </c>
      <c r="C380" s="2" t="inlineStr">
        <is>
          <t>D4ES01-16G</t>
        </is>
      </c>
      <c r="D380" s="2" t="inlineStr">
        <is>
          <t>Модуль памяти для СХД DDR4 16GB SO D4ES01-16G SYNOLOGY</t>
        </is>
      </c>
      <c r="E380" s="2">
        <v>40</v>
      </c>
      <c r="F380" s="2">
        <v>40</v>
      </c>
      <c r="H380" s="2">
        <v>531</v>
      </c>
      <c r="I380" s="2" t="inlineStr">
        <is>
          <t>$</t>
        </is>
      </c>
      <c r="J380" s="2">
        <f>HYPERLINK("https://app.astro.lead-studio.pro/product/9b57ec6f-e675-4c70-b757-963a4dba5eea")</f>
      </c>
    </row>
    <row r="381" spans="1:10" customHeight="0">
      <c r="A381" s="2" t="inlineStr">
        <is>
          <t>Модули памяти для СХД</t>
        </is>
      </c>
      <c r="B381" s="2" t="inlineStr">
        <is>
          <t>SYNOLOGY</t>
        </is>
      </c>
      <c r="C381" s="2" t="inlineStr">
        <is>
          <t>D4EU01-16G</t>
        </is>
      </c>
      <c r="D381" s="2" t="inlineStr">
        <is>
          <t>Модуль памяти для СХД DDR4 16GB SO D4EU01-16G SYNOLOGY</t>
        </is>
      </c>
      <c r="E381" s="2" t="inlineStr">
        <is>
          <t>10</t>
        </is>
      </c>
      <c r="F381" s="2" t="inlineStr">
        <is>
          <t>10</t>
        </is>
      </c>
      <c r="H381" s="2">
        <v>598</v>
      </c>
      <c r="I381" s="2" t="inlineStr">
        <is>
          <t>$</t>
        </is>
      </c>
      <c r="J381" s="2">
        <f>HYPERLINK("https://app.astro.lead-studio.pro/product/5f768b1a-f2ec-4f93-b136-8e4ae347a7e6")</f>
      </c>
    </row>
    <row r="382" spans="1:10" customHeight="0">
      <c r="A382" s="2" t="inlineStr">
        <is>
          <t>Модули памяти для СХД</t>
        </is>
      </c>
      <c r="B382" s="2" t="inlineStr">
        <is>
          <t>SYNOLOGY</t>
        </is>
      </c>
      <c r="C382" s="2" t="inlineStr">
        <is>
          <t>D4ER01-32G</t>
        </is>
      </c>
      <c r="D382" s="2" t="inlineStr">
        <is>
          <t>Модуль памяти для СХД DDR4 32GB D4ER01-32G SYNOLOGY</t>
        </is>
      </c>
      <c r="E382" s="2">
        <v>10</v>
      </c>
      <c r="F382" s="2">
        <v>10</v>
      </c>
      <c r="H382" s="2">
        <v>1098</v>
      </c>
      <c r="I382" s="2" t="inlineStr">
        <is>
          <t>$</t>
        </is>
      </c>
      <c r="J382" s="2">
        <f>HYPERLINK("https://app.astro.lead-studio.pro/product/2a448b1e-ac90-43e9-8453-4db40934a048")</f>
      </c>
    </row>
    <row r="383" spans="1:10" customHeight="0">
      <c r="A383" s="2" t="inlineStr">
        <is>
          <t>Модули памяти для СХД</t>
        </is>
      </c>
      <c r="B383" s="2" t="inlineStr">
        <is>
          <t>SYNOLOGY</t>
        </is>
      </c>
      <c r="C383" s="2" t="inlineStr">
        <is>
          <t>D4RD-2666-32G</t>
        </is>
      </c>
      <c r="D383" s="2" t="inlineStr">
        <is>
          <t>Модуль памяти для СХД DDR4 32GB D4RD-2666-32G SYNOLOGY</t>
        </is>
      </c>
      <c r="E383" s="2">
        <v>10</v>
      </c>
      <c r="F383" s="2">
        <v>10</v>
      </c>
      <c r="H383" s="2">
        <v>938</v>
      </c>
      <c r="I383" s="2" t="inlineStr">
        <is>
          <t>$</t>
        </is>
      </c>
      <c r="J383" s="2">
        <f>HYPERLINK("https://app.astro.lead-studio.pro/product/46ac3835-f372-43df-ac01-2175beaff0aa")</f>
      </c>
    </row>
    <row r="384" spans="1:10" customHeight="0">
      <c r="A384" s="2" t="inlineStr">
        <is>
          <t>Накопители SAS для СХД</t>
        </is>
      </c>
      <c r="B384" s="2" t="inlineStr">
        <is>
          <t>INFORTREND</t>
        </is>
      </c>
      <c r="C384" s="2" t="inlineStr">
        <is>
          <t>HELT72S3T10-0030G</t>
        </is>
      </c>
      <c r="D384" s="2" t="inlineStr">
        <is>
          <t>Жесткий диск для сервера 3.5" 12GBS 10TB HELT72S3T10-0030G INFORTREND</t>
        </is>
      </c>
      <c r="E384" s="2" t="inlineStr">
        <is>
          <t>2</t>
        </is>
      </c>
      <c r="F384" s="2" t="inlineStr">
        <is>
          <t>2</t>
        </is>
      </c>
      <c r="H384" s="2">
        <v>529</v>
      </c>
      <c r="I384" s="2" t="inlineStr">
        <is>
          <t>$</t>
        </is>
      </c>
      <c r="J384" s="2">
        <f>HYPERLINK("https://app.astro.lead-studio.pro/product/a05c9ebc-9703-43fb-8688-45750024d029")</f>
      </c>
    </row>
    <row r="385" spans="1:10" customHeight="0">
      <c r="A385" s="2" t="inlineStr">
        <is>
          <t>Оперативная память</t>
        </is>
      </c>
      <c r="B385" s="2" t="inlineStr">
        <is>
          <t>SAMSUNG</t>
        </is>
      </c>
      <c r="C385" s="2" t="inlineStr">
        <is>
          <t>M386AAG40BM3-CWE</t>
        </is>
      </c>
      <c r="D385" s="2" t="inlineStr">
        <is>
          <t>Модуль памяти 128GB DDR4-3200 LR M386AAG40BM3-CWE SAMSUNG</t>
        </is>
      </c>
      <c r="E385" s="2">
        <v>10</v>
      </c>
      <c r="F385" s="2">
        <v>10</v>
      </c>
      <c r="H385" s="2">
        <v>914</v>
      </c>
      <c r="I385" s="2" t="inlineStr">
        <is>
          <t>$</t>
        </is>
      </c>
      <c r="J385" s="2">
        <f>HYPERLINK("https://app.astro.lead-studio.pro/product/ad56b079-ae28-4859-9499-49dba79d6024")</f>
      </c>
    </row>
    <row r="386" spans="1:10" customHeight="0">
      <c r="A386" s="2" t="inlineStr">
        <is>
          <t>Оперативная память</t>
        </is>
      </c>
      <c r="B386" s="2" t="inlineStr">
        <is>
          <t>SAMSUNG</t>
        </is>
      </c>
      <c r="C386" s="2" t="inlineStr">
        <is>
          <t>M321RAGA0B20-CWK</t>
        </is>
      </c>
      <c r="D386" s="2" t="inlineStr">
        <is>
          <t>Модуль памяти 128GB DDR5-4800 M321RAGA0B20-CWK SAMSUNG</t>
        </is>
      </c>
      <c r="E386" s="2">
        <v>40</v>
      </c>
      <c r="F386" s="2">
        <v>40</v>
      </c>
      <c r="H386" s="2">
        <v>1219</v>
      </c>
      <c r="I386" s="2" t="inlineStr">
        <is>
          <t>$</t>
        </is>
      </c>
      <c r="J386" s="2">
        <f>HYPERLINK("https://app.astro.lead-studio.pro/product/d7c3d5ce-e3a0-4321-be8b-43a6c2cb1124")</f>
      </c>
    </row>
    <row r="387" spans="1:10" customHeight="0">
      <c r="A387" s="2" t="inlineStr">
        <is>
          <t>Оперативная память</t>
        </is>
      </c>
      <c r="B387" s="2" t="inlineStr">
        <is>
          <t>MICRON</t>
        </is>
      </c>
      <c r="C387" s="2" t="inlineStr">
        <is>
          <t>MTC40F2046S1RC48BA1</t>
        </is>
      </c>
      <c r="D387" s="2" t="inlineStr">
        <is>
          <t>Модуль памяти 64GB DDR5-4800 MTC40F2046S1RC48BA1 MICRON</t>
        </is>
      </c>
      <c r="E387" s="2">
        <v>100</v>
      </c>
      <c r="F387" s="2">
        <v>100</v>
      </c>
      <c r="H387" s="2">
        <v>370</v>
      </c>
      <c r="I387" s="2" t="inlineStr">
        <is>
          <t>$</t>
        </is>
      </c>
      <c r="J387" s="2">
        <f>HYPERLINK("https://app.astro.lead-studio.pro/product/24a01954-f146-4b52-8547-a0bc794c7813")</f>
      </c>
    </row>
    <row r="388" spans="1:10" customHeight="0">
      <c r="A388" s="2" t="inlineStr">
        <is>
          <t>Оперативная память</t>
        </is>
      </c>
      <c r="B388" s="2" t="inlineStr">
        <is>
          <t>HUAWEI</t>
        </is>
      </c>
      <c r="C388" s="2" t="inlineStr">
        <is>
          <t>06200304</t>
        </is>
      </c>
      <c r="D388" s="2" t="inlineStr">
        <is>
          <t>Модуль памяти DDR4 16GB ECC 1R RDIMM 2933MHZ 06200304 HUAWEI</t>
        </is>
      </c>
      <c r="E388" s="2" t="inlineStr">
        <is>
          <t>1</t>
        </is>
      </c>
      <c r="F388" s="2" t="inlineStr">
        <is>
          <t>1</t>
        </is>
      </c>
      <c r="H388" s="2">
        <v>438</v>
      </c>
      <c r="I388" s="2" t="inlineStr">
        <is>
          <t>$</t>
        </is>
      </c>
      <c r="J388" s="2">
        <f>HYPERLINK("https://app.astro.lead-studio.pro/product/da1daeda-7529-4aa5-b17e-4fdbdfd17ba1")</f>
      </c>
    </row>
    <row r="389" spans="1:10" customHeight="0">
      <c r="A389" s="2" t="inlineStr">
        <is>
          <t>Оперативная память</t>
        </is>
      </c>
      <c r="B389" s="2" t="inlineStr">
        <is>
          <t>HUAWEI</t>
        </is>
      </c>
      <c r="C389" s="2" t="inlineStr">
        <is>
          <t>06200241</t>
        </is>
      </c>
      <c r="D389" s="2" t="inlineStr">
        <is>
          <t>Модуль памяти DDR4 32GB ECC RDIMM 2666MHZ 06200241 HUAWEI</t>
        </is>
      </c>
      <c r="E389" s="2">
        <v>40</v>
      </c>
      <c r="F389" s="2">
        <v>40</v>
      </c>
      <c r="H389" s="2">
        <v>740</v>
      </c>
      <c r="I389" s="2" t="inlineStr">
        <is>
          <t>$</t>
        </is>
      </c>
      <c r="J389" s="2">
        <f>HYPERLINK("https://app.astro.lead-studio.pro/product/0371df44-916a-406f-a2ef-71e88e4e7833")</f>
      </c>
    </row>
    <row r="390" spans="1:10" customHeight="0">
      <c r="A390" s="2" t="inlineStr">
        <is>
          <t>Платформы</t>
        </is>
      </c>
      <c r="B390" s="2" t="inlineStr">
        <is>
          <t>GOOXI</t>
        </is>
      </c>
      <c r="C390" s="2" t="inlineStr">
        <is>
          <t>ST201-S12REJ</t>
        </is>
      </c>
      <c r="D390" s="2" t="inlineStr">
        <is>
          <t>Дисковая полка 2U ST201-S12REJ GOOXI</t>
        </is>
      </c>
      <c r="E390" s="2">
        <v>10</v>
      </c>
      <c r="F390" s="2">
        <v>10</v>
      </c>
      <c r="H390" s="2">
        <v>1014</v>
      </c>
      <c r="I390" s="2" t="inlineStr">
        <is>
          <t>$</t>
        </is>
      </c>
      <c r="J390" s="2">
        <f>HYPERLINK("https://app.astro.lead-studio.pro/product/6fd204d1-bea0-4d91-8280-725c6919646c")</f>
      </c>
    </row>
    <row r="391" spans="1:10" customHeight="0">
      <c r="A391" s="2" t="inlineStr">
        <is>
          <t>Платформы</t>
        </is>
      </c>
      <c r="B391" s="2" t="inlineStr">
        <is>
          <t>GOOXI</t>
        </is>
      </c>
      <c r="C391" s="2" t="inlineStr">
        <is>
          <t>ST401-S36REJ</t>
        </is>
      </c>
      <c r="D391" s="2" t="inlineStr">
        <is>
          <t>Дисковая полка 4U ST401-S36REJ GOOXI</t>
        </is>
      </c>
      <c r="E391" s="2">
        <v>10</v>
      </c>
      <c r="F391" s="2">
        <v>10</v>
      </c>
      <c r="H391" s="2">
        <v>1656</v>
      </c>
      <c r="I391" s="2" t="inlineStr">
        <is>
          <t>$</t>
        </is>
      </c>
      <c r="J391" s="2">
        <f>HYPERLINK("https://app.astro.lead-studio.pro/product/8dd59149-58d4-42d0-85d0-2e8faf799161")</f>
      </c>
    </row>
    <row r="392" spans="1:10" customHeight="0">
      <c r="A392" s="2" t="inlineStr">
        <is>
          <t>Платформы</t>
        </is>
      </c>
      <c r="B392" s="2" t="inlineStr">
        <is>
          <t>HUAWEI</t>
        </is>
      </c>
      <c r="C392" s="2" t="inlineStr">
        <is>
          <t>06180043-SET1</t>
        </is>
      </c>
      <c r="D392" s="2" t="inlineStr">
        <is>
          <t>Сервер 1288H/8-2R10S V5 1288H V5  HUAWEI</t>
        </is>
      </c>
      <c r="E392" s="2" t="inlineStr">
        <is>
          <t>7</t>
        </is>
      </c>
      <c r="F392" s="2" t="inlineStr">
        <is>
          <t>7</t>
        </is>
      </c>
      <c r="H392" s="2">
        <v>28572</v>
      </c>
      <c r="I392" s="2" t="inlineStr">
        <is>
          <t>$</t>
        </is>
      </c>
      <c r="J392" s="2">
        <f>HYPERLINK("https://app.astro.lead-studio.pro/product/9e024172-f1d0-409c-b7cc-4d18298b5fe4")</f>
      </c>
    </row>
    <row r="393" spans="1:10" customHeight="0">
      <c r="A393" s="2" t="inlineStr">
        <is>
          <t>Платформы</t>
        </is>
      </c>
      <c r="B393" s="2" t="inlineStr">
        <is>
          <t>GIGABYTE</t>
        </is>
      </c>
      <c r="C393" s="2" t="inlineStr">
        <is>
          <t>R133-X10-AAA2</t>
        </is>
      </c>
      <c r="D393" s="2" t="inlineStr">
        <is>
          <t>Серверная платформа 1U R133-X10-AAA2 GIGABYTE</t>
        </is>
      </c>
      <c r="E393" s="2" t="inlineStr">
        <is>
          <t>3</t>
        </is>
      </c>
      <c r="F393" s="2" t="inlineStr">
        <is>
          <t>3</t>
        </is>
      </c>
      <c r="H393" s="2">
        <v>2395</v>
      </c>
      <c r="I393" s="2" t="inlineStr">
        <is>
          <t>$</t>
        </is>
      </c>
      <c r="J393" s="2">
        <f>HYPERLINK("https://app.astro.lead-studio.pro/product/32791c85-d94f-4ea2-994c-aba6a2a6e2a9")</f>
      </c>
    </row>
    <row r="394" spans="1:10" customHeight="0">
      <c r="A394" s="2" t="inlineStr">
        <is>
          <t>Платформы</t>
        </is>
      </c>
      <c r="B394" s="2" t="inlineStr">
        <is>
          <t>GIGABYTE</t>
        </is>
      </c>
      <c r="C394" s="2" t="inlineStr">
        <is>
          <t>R181-2A0</t>
        </is>
      </c>
      <c r="D394" s="2" t="inlineStr">
        <is>
          <t>Серверная платформа 1U R181-2A0 GIGABYTE</t>
        </is>
      </c>
      <c r="E394" s="2" t="inlineStr">
        <is>
          <t>5</t>
        </is>
      </c>
      <c r="F394" s="2" t="inlineStr">
        <is>
          <t>5</t>
        </is>
      </c>
      <c r="H394" s="2">
        <v>2580</v>
      </c>
      <c r="I394" s="2" t="inlineStr">
        <is>
          <t>$</t>
        </is>
      </c>
      <c r="J394" s="2">
        <f>HYPERLINK("https://app.astro.lead-studio.pro/product/b0e02833-ccd9-4b1f-87cd-0b6cb95cb25e")</f>
      </c>
    </row>
    <row r="395" spans="1:10" customHeight="0">
      <c r="A395" s="2" t="inlineStr">
        <is>
          <t>Платформы</t>
        </is>
      </c>
      <c r="B395" s="2" t="inlineStr">
        <is>
          <t>GIGABYTE</t>
        </is>
      </c>
      <c r="C395" s="2" t="inlineStr">
        <is>
          <t>R181-N20</t>
        </is>
      </c>
      <c r="D395" s="2" t="inlineStr">
        <is>
          <t>Серверная платформа 1U R181-N20 GIGABYTE</t>
        </is>
      </c>
      <c r="E395" s="2" t="inlineStr">
        <is>
          <t>5</t>
        </is>
      </c>
      <c r="F395" s="2" t="inlineStr">
        <is>
          <t>5</t>
        </is>
      </c>
      <c r="H395" s="2">
        <v>2732</v>
      </c>
      <c r="I395" s="2" t="inlineStr">
        <is>
          <t>$</t>
        </is>
      </c>
      <c r="J395" s="2">
        <f>HYPERLINK("https://app.astro.lead-studio.pro/product/a7b7f9f7-b1a7-40ad-8046-1de0e9c3c546")</f>
      </c>
    </row>
    <row r="396" spans="1:10" customHeight="0">
      <c r="A396" s="2" t="inlineStr">
        <is>
          <t>Платформы</t>
        </is>
      </c>
      <c r="B396" s="2" t="inlineStr">
        <is>
          <t>GIGABYTE</t>
        </is>
      </c>
      <c r="C396" s="2" t="inlineStr">
        <is>
          <t>R182-Z90</t>
        </is>
      </c>
      <c r="D396" s="2" t="inlineStr">
        <is>
          <t>Серверная платформа 1U R182-Z90 GIGABYTE</t>
        </is>
      </c>
      <c r="E396" s="2" t="inlineStr">
        <is>
          <t>3</t>
        </is>
      </c>
      <c r="F396" s="2" t="inlineStr">
        <is>
          <t>3</t>
        </is>
      </c>
      <c r="H396" s="2">
        <v>3034</v>
      </c>
      <c r="I396" s="2" t="inlineStr">
        <is>
          <t>$</t>
        </is>
      </c>
      <c r="J396" s="2">
        <f>HYPERLINK("https://app.astro.lead-studio.pro/product/2c2b4941-2e2b-48e0-b1a2-00d9f8b627c3")</f>
      </c>
    </row>
    <row r="397" spans="1:10" customHeight="0">
      <c r="A397" s="2" t="inlineStr">
        <is>
          <t>Платформы</t>
        </is>
      </c>
      <c r="B397" s="2" t="inlineStr">
        <is>
          <t>GIGABYTE</t>
        </is>
      </c>
      <c r="C397" s="2" t="inlineStr">
        <is>
          <t>R183-Z90-AAD2</t>
        </is>
      </c>
      <c r="D397" s="2" t="inlineStr">
        <is>
          <t>Серверная платформа 1U R183-Z90-AAD2 GIGABYTE</t>
        </is>
      </c>
      <c r="E397" s="2" t="inlineStr">
        <is>
          <t>5</t>
        </is>
      </c>
      <c r="F397" s="2" t="inlineStr">
        <is>
          <t>5</t>
        </is>
      </c>
      <c r="H397" s="2">
        <v>4545</v>
      </c>
      <c r="I397" s="2" t="inlineStr">
        <is>
          <t>$</t>
        </is>
      </c>
      <c r="J397" s="2">
        <f>HYPERLINK("https://app.astro.lead-studio.pro/product/45ab91fa-e52e-4b84-b7f1-fd939ac64cac")</f>
      </c>
    </row>
    <row r="398" spans="1:10" customHeight="0">
      <c r="A398" s="2" t="inlineStr">
        <is>
          <t>Платформы</t>
        </is>
      </c>
      <c r="B398" s="2" t="inlineStr">
        <is>
          <t>GIGABYTE</t>
        </is>
      </c>
      <c r="C398" s="2" t="inlineStr">
        <is>
          <t>R183-Z94-AAD1</t>
        </is>
      </c>
      <c r="D398" s="2" t="inlineStr">
        <is>
          <t>Серверная платформа 1U R183-Z94-AAD1 GIGABYTE</t>
        </is>
      </c>
      <c r="E398" s="2" t="inlineStr">
        <is>
          <t>1</t>
        </is>
      </c>
      <c r="F398" s="2" t="inlineStr">
        <is>
          <t>1</t>
        </is>
      </c>
      <c r="H398" s="2">
        <v>4394</v>
      </c>
      <c r="I398" s="2" t="inlineStr">
        <is>
          <t>$</t>
        </is>
      </c>
      <c r="J398" s="2">
        <f>HYPERLINK("https://app.astro.lead-studio.pro/product/f516153e-c25d-44f7-ae30-84f168748a82")</f>
      </c>
    </row>
    <row r="399" spans="1:10" customHeight="0">
      <c r="A399" s="2" t="inlineStr">
        <is>
          <t>Платформы</t>
        </is>
      </c>
      <c r="B399" s="2" t="inlineStr">
        <is>
          <t>GIGABYTE</t>
        </is>
      </c>
      <c r="C399" s="2" t="inlineStr">
        <is>
          <t>R183-ZF1-AAJ1</t>
        </is>
      </c>
      <c r="D399" s="2" t="inlineStr">
        <is>
          <t>Серверная платформа 1U R183-ZF1-AAJ1 GIGABYTE</t>
        </is>
      </c>
      <c r="E399" s="2" t="inlineStr">
        <is>
          <t>3</t>
        </is>
      </c>
      <c r="F399" s="2" t="inlineStr">
        <is>
          <t>3</t>
        </is>
      </c>
      <c r="H399" s="2">
        <v>5734</v>
      </c>
      <c r="I399" s="2" t="inlineStr">
        <is>
          <t>$</t>
        </is>
      </c>
      <c r="J399" s="2">
        <f>HYPERLINK("https://app.astro.lead-studio.pro/product/f676f68b-dc38-45a0-9788-51e94ba64594")</f>
      </c>
    </row>
    <row r="400" spans="1:10" customHeight="0">
      <c r="A400" s="2" t="inlineStr">
        <is>
          <t>Платформы</t>
        </is>
      </c>
      <c r="B400" s="2" t="inlineStr">
        <is>
          <t>GOOXI</t>
        </is>
      </c>
      <c r="C400" s="2" t="inlineStr">
        <is>
          <t>SL101-D10R-G3</t>
        </is>
      </c>
      <c r="D400" s="2" t="inlineStr">
        <is>
          <t>Серверная платформа 1U SL101-D10R-G3 GOOXI</t>
        </is>
      </c>
      <c r="E400" s="2" t="inlineStr">
        <is>
          <t>Нет в наличии</t>
        </is>
      </c>
      <c r="F400" s="2" t="inlineStr">
        <is>
          <t>Нет в наличии</t>
        </is>
      </c>
      <c r="H400" s="2">
        <v>2735</v>
      </c>
      <c r="I400" s="2" t="inlineStr">
        <is>
          <t>$</t>
        </is>
      </c>
      <c r="J400" s="2">
        <f>HYPERLINK("https://app.astro.lead-studio.pro/product/f2dcacd4-7180-4663-aaa3-08f105b9fc3d")</f>
      </c>
    </row>
    <row r="401" spans="1:10" customHeight="0">
      <c r="A401" s="2" t="inlineStr">
        <is>
          <t>Платформы</t>
        </is>
      </c>
      <c r="B401" s="2" t="inlineStr">
        <is>
          <t>GIGABYTE</t>
        </is>
      </c>
      <c r="C401" s="2" t="inlineStr">
        <is>
          <t>G242-Z12</t>
        </is>
      </c>
      <c r="D401" s="2" t="inlineStr">
        <is>
          <t>Серверная платформа 2U G242-Z12 GIGABYTE</t>
        </is>
      </c>
      <c r="E401" s="2" t="inlineStr">
        <is>
          <t>1</t>
        </is>
      </c>
      <c r="F401" s="2" t="inlineStr">
        <is>
          <t>1</t>
        </is>
      </c>
      <c r="H401" s="2">
        <v>3421</v>
      </c>
      <c r="I401" s="2" t="inlineStr">
        <is>
          <t>$</t>
        </is>
      </c>
      <c r="J401" s="2">
        <f>HYPERLINK("https://app.astro.lead-studio.pro/product/cd772577-f08d-477e-8d57-87e13dfd07c9")</f>
      </c>
    </row>
    <row r="402" spans="1:10" customHeight="0">
      <c r="A402" s="2" t="inlineStr">
        <is>
          <t>Платформы</t>
        </is>
      </c>
      <c r="B402" s="2" t="inlineStr">
        <is>
          <t>GIGABYTE</t>
        </is>
      </c>
      <c r="C402" s="2" t="inlineStr">
        <is>
          <t>G292-Z20</t>
        </is>
      </c>
      <c r="D402" s="2" t="inlineStr">
        <is>
          <t>Серверная платформа 2U G292-Z20 GIGABYTE</t>
        </is>
      </c>
      <c r="E402" s="2" t="inlineStr">
        <is>
          <t>5</t>
        </is>
      </c>
      <c r="F402" s="2" t="inlineStr">
        <is>
          <t>5</t>
        </is>
      </c>
      <c r="H402" s="2">
        <v>4089</v>
      </c>
      <c r="I402" s="2" t="inlineStr">
        <is>
          <t>$</t>
        </is>
      </c>
      <c r="J402" s="2">
        <f>HYPERLINK("https://app.astro.lead-studio.pro/product/945fafd9-dca8-41ae-ae00-631c6080d4b8")</f>
      </c>
    </row>
    <row r="403" spans="1:10" customHeight="0">
      <c r="A403" s="2" t="inlineStr">
        <is>
          <t>Платформы</t>
        </is>
      </c>
      <c r="B403" s="2" t="inlineStr">
        <is>
          <t>GIGABYTE</t>
        </is>
      </c>
      <c r="C403" s="2" t="inlineStr">
        <is>
          <t>R262-ZA0</t>
        </is>
      </c>
      <c r="D403" s="2" t="inlineStr">
        <is>
          <t>Серверная платформа 2U R262-ZA0 GIGABYTE</t>
        </is>
      </c>
      <c r="E403" s="2" t="inlineStr">
        <is>
          <t>4</t>
        </is>
      </c>
      <c r="F403" s="2" t="inlineStr">
        <is>
          <t>4</t>
        </is>
      </c>
      <c r="H403" s="2">
        <v>3078</v>
      </c>
      <c r="I403" s="2" t="inlineStr">
        <is>
          <t>$</t>
        </is>
      </c>
      <c r="J403" s="2">
        <f>HYPERLINK("https://app.astro.lead-studio.pro/product/05dec623-4e7b-4cda-8116-c570648fe477")</f>
      </c>
    </row>
    <row r="404" spans="1:10" customHeight="0">
      <c r="A404" s="2" t="inlineStr">
        <is>
          <t>Платформы</t>
        </is>
      </c>
      <c r="B404" s="2" t="inlineStr">
        <is>
          <t>GIGABYTE</t>
        </is>
      </c>
      <c r="C404" s="2" t="inlineStr">
        <is>
          <t>R263-Z32-AAC1</t>
        </is>
      </c>
      <c r="D404" s="2" t="inlineStr">
        <is>
          <t>Серверная платформа 2U R263-Z32-AAC1 GIGABYTE</t>
        </is>
      </c>
      <c r="E404" s="2" t="inlineStr">
        <is>
          <t>5</t>
        </is>
      </c>
      <c r="F404" s="2" t="inlineStr">
        <is>
          <t>5</t>
        </is>
      </c>
      <c r="H404" s="2">
        <v>4168</v>
      </c>
      <c r="I404" s="2" t="inlineStr">
        <is>
          <t>$</t>
        </is>
      </c>
      <c r="J404" s="2">
        <f>HYPERLINK("https://app.astro.lead-studio.pro/product/3741d585-62f9-485a-9cb1-9e2b78b11f30")</f>
      </c>
    </row>
    <row r="405" spans="1:10" customHeight="0">
      <c r="A405" s="2" t="inlineStr">
        <is>
          <t>Платформы</t>
        </is>
      </c>
      <c r="B405" s="2" t="inlineStr">
        <is>
          <t>GIGABYTE</t>
        </is>
      </c>
      <c r="C405" s="2" t="inlineStr">
        <is>
          <t>R263-Z37-AAC1</t>
        </is>
      </c>
      <c r="D405" s="2" t="inlineStr">
        <is>
          <t>Серверная платформа 2U R263-Z37-AAC1 GIGABYTE</t>
        </is>
      </c>
      <c r="E405" s="2" t="inlineStr">
        <is>
          <t>1</t>
        </is>
      </c>
      <c r="F405" s="2" t="inlineStr">
        <is>
          <t>1</t>
        </is>
      </c>
      <c r="H405" s="2">
        <v>3884</v>
      </c>
      <c r="I405" s="2" t="inlineStr">
        <is>
          <t>$</t>
        </is>
      </c>
      <c r="J405" s="2">
        <f>HYPERLINK("https://app.astro.lead-studio.pro/product/a97bb315-d78c-4b98-9a01-ce01315073dc")</f>
      </c>
    </row>
    <row r="406" spans="1:10" customHeight="0">
      <c r="A406" s="2" t="inlineStr">
        <is>
          <t>Платформы</t>
        </is>
      </c>
      <c r="B406" s="2" t="inlineStr">
        <is>
          <t>GIGABYTE</t>
        </is>
      </c>
      <c r="C406" s="2" t="inlineStr">
        <is>
          <t>R282-2O0</t>
        </is>
      </c>
      <c r="D406" s="2" t="inlineStr">
        <is>
          <t>Серверная платформа 2U R282-2O0 GIGABYTE</t>
        </is>
      </c>
      <c r="E406" s="2" t="inlineStr">
        <is>
          <t>Нет в наличии</t>
        </is>
      </c>
      <c r="F406" s="2" t="inlineStr">
        <is>
          <t>Нет в наличии</t>
        </is>
      </c>
      <c r="H406" s="2">
        <v>3778</v>
      </c>
      <c r="I406" s="2" t="inlineStr">
        <is>
          <t>$</t>
        </is>
      </c>
      <c r="J406" s="2">
        <f>HYPERLINK("https://app.astro.lead-studio.pro/product/28e899a1-a68a-4bdc-a171-7a685094daeb")</f>
      </c>
    </row>
    <row r="407" spans="1:10" customHeight="0">
      <c r="A407" s="2" t="inlineStr">
        <is>
          <t>Платформы</t>
        </is>
      </c>
      <c r="B407" s="2" t="inlineStr">
        <is>
          <t>GIGABYTE</t>
        </is>
      </c>
      <c r="C407" s="2" t="inlineStr">
        <is>
          <t>R282-3C2</t>
        </is>
      </c>
      <c r="D407" s="2" t="inlineStr">
        <is>
          <t>Серверная платформа 2U R282-3C2 GIGABYTE</t>
        </is>
      </c>
      <c r="E407" s="2" t="inlineStr">
        <is>
          <t>Нет в наличии</t>
        </is>
      </c>
      <c r="F407" s="2" t="inlineStr">
        <is>
          <t>Нет в наличии</t>
        </is>
      </c>
      <c r="H407" s="2">
        <v>3858</v>
      </c>
      <c r="I407" s="2" t="inlineStr">
        <is>
          <t>$</t>
        </is>
      </c>
      <c r="J407" s="2">
        <f>HYPERLINK("https://app.astro.lead-studio.pro/product/6a06b529-74a4-4e34-badf-85a2c3e0186c")</f>
      </c>
    </row>
    <row r="408" spans="1:10" customHeight="0">
      <c r="A408" s="2" t="inlineStr">
        <is>
          <t>Платформы</t>
        </is>
      </c>
      <c r="B408" s="2" t="inlineStr">
        <is>
          <t>GIGABYTE</t>
        </is>
      </c>
      <c r="C408" s="2" t="inlineStr">
        <is>
          <t>R282-G30</t>
        </is>
      </c>
      <c r="D408" s="2" t="inlineStr">
        <is>
          <t>Серверная платформа 2U R282-G30 GIGABYTE</t>
        </is>
      </c>
      <c r="E408" s="2" t="inlineStr">
        <is>
          <t>8</t>
        </is>
      </c>
      <c r="F408" s="2" t="inlineStr">
        <is>
          <t>8</t>
        </is>
      </c>
      <c r="H408" s="2">
        <v>4908</v>
      </c>
      <c r="I408" s="2" t="inlineStr">
        <is>
          <t>$</t>
        </is>
      </c>
      <c r="J408" s="2">
        <f>HYPERLINK("https://app.astro.lead-studio.pro/product/9f63dcf7-0e6f-4e4d-9a1b-ee2ea140c447")</f>
      </c>
    </row>
    <row r="409" spans="1:10" customHeight="0">
      <c r="A409" s="2" t="inlineStr">
        <is>
          <t>Платформы</t>
        </is>
      </c>
      <c r="B409" s="2" t="inlineStr">
        <is>
          <t>GIGABYTE</t>
        </is>
      </c>
      <c r="C409" s="2" t="inlineStr">
        <is>
          <t>R282-N81</t>
        </is>
      </c>
      <c r="D409" s="2" t="inlineStr">
        <is>
          <t>Серверная платформа 2U R282-N81 GIGABYTE</t>
        </is>
      </c>
      <c r="E409" s="2" t="inlineStr">
        <is>
          <t>2</t>
        </is>
      </c>
      <c r="F409" s="2" t="inlineStr">
        <is>
          <t>2</t>
        </is>
      </c>
      <c r="H409" s="2">
        <v>2550</v>
      </c>
      <c r="I409" s="2" t="inlineStr">
        <is>
          <t>$</t>
        </is>
      </c>
      <c r="J409" s="2">
        <f>HYPERLINK("https://app.astro.lead-studio.pro/product/9d427b9d-1cf2-42a5-849f-ae4d51cec53f")</f>
      </c>
    </row>
    <row r="410" spans="1:10" customHeight="0">
      <c r="A410" s="2" t="inlineStr">
        <is>
          <t>Платформы</t>
        </is>
      </c>
      <c r="B410" s="2" t="inlineStr">
        <is>
          <t>GIGABYTE</t>
        </is>
      </c>
      <c r="C410" s="2" t="inlineStr">
        <is>
          <t>R282-Z90</t>
        </is>
      </c>
      <c r="D410" s="2" t="inlineStr">
        <is>
          <t>Серверная платформа 2U R282-Z90 GIGABYTE</t>
        </is>
      </c>
      <c r="E410" s="2" t="inlineStr">
        <is>
          <t>2</t>
        </is>
      </c>
      <c r="F410" s="2" t="inlineStr">
        <is>
          <t>2</t>
        </is>
      </c>
      <c r="H410" s="2">
        <v>3517</v>
      </c>
      <c r="I410" s="2" t="inlineStr">
        <is>
          <t>$</t>
        </is>
      </c>
      <c r="J410" s="2">
        <f>HYPERLINK("https://app.astro.lead-studio.pro/product/8d1f8482-38ba-4da1-8b1f-5ce00af63c06")</f>
      </c>
    </row>
    <row r="411" spans="1:10" customHeight="0">
      <c r="A411" s="2" t="inlineStr">
        <is>
          <t>Платформы</t>
        </is>
      </c>
      <c r="B411" s="2" t="inlineStr">
        <is>
          <t>GIGABYTE</t>
        </is>
      </c>
      <c r="C411" s="2" t="inlineStr">
        <is>
          <t>R282-Z91</t>
        </is>
      </c>
      <c r="D411" s="2" t="inlineStr">
        <is>
          <t>Серверная платформа 2U R282-Z91 GIGABYTE</t>
        </is>
      </c>
      <c r="E411" s="2" t="inlineStr">
        <is>
          <t>3</t>
        </is>
      </c>
      <c r="F411" s="2" t="inlineStr">
        <is>
          <t>3</t>
        </is>
      </c>
      <c r="H411" s="2">
        <v>3822</v>
      </c>
      <c r="I411" s="2" t="inlineStr">
        <is>
          <t>$</t>
        </is>
      </c>
      <c r="J411" s="2">
        <f>HYPERLINK("https://app.astro.lead-studio.pro/product/e29b0afd-f79a-43ce-80dd-912190cb5290")</f>
      </c>
    </row>
    <row r="412" spans="1:10" customHeight="0">
      <c r="A412" s="2" t="inlineStr">
        <is>
          <t>Платформы</t>
        </is>
      </c>
      <c r="B412" s="2" t="inlineStr">
        <is>
          <t>GIGABYTE</t>
        </is>
      </c>
      <c r="C412" s="2" t="inlineStr">
        <is>
          <t>R282-Z93</t>
        </is>
      </c>
      <c r="D412" s="2" t="inlineStr">
        <is>
          <t>Серверная платформа 2U R282-Z93 rev. A00 GIGABYTE</t>
        </is>
      </c>
      <c r="E412" s="2" t="inlineStr">
        <is>
          <t>3</t>
        </is>
      </c>
      <c r="F412" s="2" t="inlineStr">
        <is>
          <t>3</t>
        </is>
      </c>
      <c r="H412" s="2">
        <v>4008</v>
      </c>
      <c r="I412" s="2" t="inlineStr">
        <is>
          <t>$</t>
        </is>
      </c>
      <c r="J412" s="2">
        <f>HYPERLINK("https://app.astro.lead-studio.pro/product/44684bb5-fea9-4abd-998d-2c13f3fcf265")</f>
      </c>
    </row>
    <row r="413" spans="1:10" customHeight="0">
      <c r="A413" s="2" t="inlineStr">
        <is>
          <t>Платформы</t>
        </is>
      </c>
      <c r="B413" s="2" t="inlineStr">
        <is>
          <t>GIGABYTE</t>
        </is>
      </c>
      <c r="C413" s="2" t="inlineStr">
        <is>
          <t>R282-Z94</t>
        </is>
      </c>
      <c r="D413" s="2" t="inlineStr">
        <is>
          <t>Серверная платформа 2U R282-Z94 GIGABYTE</t>
        </is>
      </c>
      <c r="E413" s="2" t="inlineStr">
        <is>
          <t>1</t>
        </is>
      </c>
      <c r="F413" s="2" t="inlineStr">
        <is>
          <t>1</t>
        </is>
      </c>
      <c r="H413" s="2">
        <v>4937</v>
      </c>
      <c r="I413" s="2" t="inlineStr">
        <is>
          <t>$</t>
        </is>
      </c>
      <c r="J413" s="2">
        <f>HYPERLINK("https://app.astro.lead-studio.pro/product/52551aaa-f99f-4b0c-bab4-5a7233a5564f")</f>
      </c>
    </row>
    <row r="414" spans="1:10" customHeight="0">
      <c r="A414" s="2" t="inlineStr">
        <is>
          <t>Платформы</t>
        </is>
      </c>
      <c r="B414" s="2" t="inlineStr">
        <is>
          <t>GIGABYTE</t>
        </is>
      </c>
      <c r="C414" s="2" t="inlineStr">
        <is>
          <t>R282-Z96</t>
        </is>
      </c>
      <c r="D414" s="2" t="inlineStr">
        <is>
          <t>Серверная платформа 2U R282-Z96 GIGABYTE</t>
        </is>
      </c>
      <c r="E414" s="2" t="inlineStr">
        <is>
          <t>9</t>
        </is>
      </c>
      <c r="F414" s="2" t="inlineStr">
        <is>
          <t>9</t>
        </is>
      </c>
      <c r="H414" s="2">
        <v>4218</v>
      </c>
      <c r="I414" s="2" t="inlineStr">
        <is>
          <t>$</t>
        </is>
      </c>
      <c r="J414" s="2">
        <f>HYPERLINK("https://app.astro.lead-studio.pro/product/8fc8783c-7fbf-456c-841b-26ccf2145210")</f>
      </c>
    </row>
    <row r="415" spans="1:10" customHeight="0">
      <c r="A415" s="2" t="inlineStr">
        <is>
          <t>Платформы</t>
        </is>
      </c>
      <c r="B415" s="2" t="inlineStr">
        <is>
          <t>GIGABYTE</t>
        </is>
      </c>
      <c r="C415" s="2" t="inlineStr">
        <is>
          <t>R283-S92-AAJ3</t>
        </is>
      </c>
      <c r="D415" s="2" t="inlineStr">
        <is>
          <t>Серверная платформа 2U R283-S92-AAJ3 GIGABYTE</t>
        </is>
      </c>
      <c r="E415" s="2" t="inlineStr">
        <is>
          <t>1</t>
        </is>
      </c>
      <c r="F415" s="2" t="inlineStr">
        <is>
          <t>1</t>
        </is>
      </c>
      <c r="H415" s="2">
        <v>5443</v>
      </c>
      <c r="I415" s="2" t="inlineStr">
        <is>
          <t>$</t>
        </is>
      </c>
      <c r="J415" s="2">
        <f>HYPERLINK("https://app.astro.lead-studio.pro/product/0602b5b6-7fc6-4726-9b34-868122670f27")</f>
      </c>
    </row>
    <row r="416" spans="1:10" customHeight="0">
      <c r="A416" s="2" t="inlineStr">
        <is>
          <t>Платформы</t>
        </is>
      </c>
      <c r="B416" s="2" t="inlineStr">
        <is>
          <t>GIGABYTE</t>
        </is>
      </c>
      <c r="C416" s="2" t="inlineStr">
        <is>
          <t>R283-Z90-AAV1</t>
        </is>
      </c>
      <c r="D416" s="2" t="inlineStr">
        <is>
          <t>Серверная платформа 2U R283-Z90-AAV1 GIGABYTE</t>
        </is>
      </c>
      <c r="E416" s="2" t="inlineStr">
        <is>
          <t>1</t>
        </is>
      </c>
      <c r="F416" s="2" t="inlineStr">
        <is>
          <t>1</t>
        </is>
      </c>
      <c r="H416" s="2">
        <v>5296</v>
      </c>
      <c r="I416" s="2" t="inlineStr">
        <is>
          <t>$</t>
        </is>
      </c>
      <c r="J416" s="2">
        <f>HYPERLINK("https://app.astro.lead-studio.pro/product/ceaebfe3-4d76-4983-a6e6-6c23f3f5da5a")</f>
      </c>
    </row>
    <row r="417" spans="1:10" customHeight="0">
      <c r="A417" s="2" t="inlineStr">
        <is>
          <t>Платформы</t>
        </is>
      </c>
      <c r="B417" s="2" t="inlineStr">
        <is>
          <t>GIGABYTE</t>
        </is>
      </c>
      <c r="C417" s="2" t="inlineStr">
        <is>
          <t>R283-Z91-AAD1</t>
        </is>
      </c>
      <c r="D417" s="2" t="inlineStr">
        <is>
          <t>Серверная платформа 2U R283-Z91-AAD1 GIGABYTE</t>
        </is>
      </c>
      <c r="E417" s="2" t="inlineStr">
        <is>
          <t>2</t>
        </is>
      </c>
      <c r="F417" s="2" t="inlineStr">
        <is>
          <t>2</t>
        </is>
      </c>
      <c r="H417" s="2">
        <v>5368</v>
      </c>
      <c r="I417" s="2" t="inlineStr">
        <is>
          <t>$</t>
        </is>
      </c>
      <c r="J417" s="2">
        <f>HYPERLINK("https://app.astro.lead-studio.pro/product/a1a202fb-52fd-4981-8710-ae97c361c467")</f>
      </c>
    </row>
    <row r="418" spans="1:10" customHeight="0">
      <c r="A418" s="2" t="inlineStr">
        <is>
          <t>Платформы</t>
        </is>
      </c>
      <c r="B418" s="2" t="inlineStr">
        <is>
          <t>GOOXI</t>
        </is>
      </c>
      <c r="C418" s="2" t="inlineStr">
        <is>
          <t>SL201-D12R-NV-G3</t>
        </is>
      </c>
      <c r="D418" s="2" t="inlineStr">
        <is>
          <t>Серверная платформа 2U SL201-D12R-NV-G3 GOOXI</t>
        </is>
      </c>
      <c r="E418" s="2" t="inlineStr">
        <is>
          <t>Нет в наличии</t>
        </is>
      </c>
      <c r="F418" s="2" t="inlineStr">
        <is>
          <t>Нет в наличии</t>
        </is>
      </c>
      <c r="H418" s="2">
        <v>2978</v>
      </c>
      <c r="I418" s="2" t="inlineStr">
        <is>
          <t>$</t>
        </is>
      </c>
      <c r="J418" s="2">
        <f>HYPERLINK("https://app.astro.lead-studio.pro/product/aa3d9c67-f027-4ec2-8757-4146dcd29b39")</f>
      </c>
    </row>
    <row r="419" spans="1:10" customHeight="0">
      <c r="A419" s="2" t="inlineStr">
        <is>
          <t>Платформы</t>
        </is>
      </c>
      <c r="B419" s="2" t="inlineStr">
        <is>
          <t>LENOVO</t>
        </is>
      </c>
      <c r="C419" s="2" t="inlineStr">
        <is>
          <t>1410HPB</t>
        </is>
      </c>
      <c r="D419" s="2" t="inlineStr">
        <is>
          <t>Серверная платформа 42U 1410HPB  LENOVO</t>
        </is>
      </c>
      <c r="E419" s="2" t="inlineStr">
        <is>
          <t>2</t>
        </is>
      </c>
      <c r="F419" s="2" t="inlineStr">
        <is>
          <t>2</t>
        </is>
      </c>
      <c r="H419" s="2">
        <v>34743</v>
      </c>
      <c r="I419" s="2" t="inlineStr">
        <is>
          <t>$</t>
        </is>
      </c>
      <c r="J419" s="2">
        <f>HYPERLINK("https://app.astro.lead-studio.pro/product/7ccdea01-1579-45de-bf3f-6c6efa116de7")</f>
      </c>
    </row>
    <row r="420" spans="1:10" customHeight="0">
      <c r="A420" s="2" t="inlineStr">
        <is>
          <t>Платформы</t>
        </is>
      </c>
      <c r="B420" s="2" t="inlineStr">
        <is>
          <t>GIGABYTE</t>
        </is>
      </c>
      <c r="C420" s="2" t="inlineStr">
        <is>
          <t>G492-ZD2</t>
        </is>
      </c>
      <c r="D420" s="2" t="inlineStr">
        <is>
          <t>Серверная платформа 4U GPU 8BAY AMD EPYC G492-ZD2 GIGABYTE</t>
        </is>
      </c>
      <c r="E420" s="2" t="inlineStr">
        <is>
          <t>Нет в наличии</t>
        </is>
      </c>
      <c r="F420" s="2" t="inlineStr">
        <is>
          <t>Нет в наличии</t>
        </is>
      </c>
      <c r="H420" s="2">
        <v>1031001</v>
      </c>
      <c r="I420" s="2" t="inlineStr">
        <is>
          <t>$</t>
        </is>
      </c>
      <c r="J420" s="2">
        <f>HYPERLINK("https://app.astro.lead-studio.pro/product/1d7bcc1d-0f2f-4599-b7dc-260850666a83")</f>
      </c>
    </row>
    <row r="421" spans="1:10" customHeight="0">
      <c r="A421" s="2" t="inlineStr">
        <is>
          <t>Платформы</t>
        </is>
      </c>
      <c r="B421" s="2" t="inlineStr">
        <is>
          <t>GIGABYTE</t>
        </is>
      </c>
      <c r="C421" s="2" t="inlineStr">
        <is>
          <t>S451-3R0</t>
        </is>
      </c>
      <c r="D421" s="2" t="inlineStr">
        <is>
          <t>Серверная платформа 4U S451-3R0 GIGABYTE</t>
        </is>
      </c>
      <c r="E421" s="2" t="inlineStr">
        <is>
          <t>1</t>
        </is>
      </c>
      <c r="F421" s="2" t="inlineStr">
        <is>
          <t>1</t>
        </is>
      </c>
      <c r="H421" s="2">
        <v>3857</v>
      </c>
      <c r="I421" s="2" t="inlineStr">
        <is>
          <t>$</t>
        </is>
      </c>
      <c r="J421" s="2">
        <f>HYPERLINK("https://app.astro.lead-studio.pro/product/81922f96-17de-4680-9ad8-66af329dc1a5")</f>
      </c>
    </row>
    <row r="422" spans="1:10" customHeight="0">
      <c r="A422" s="2" t="inlineStr">
        <is>
          <t>Платформы</t>
        </is>
      </c>
      <c r="B422" s="2" t="inlineStr">
        <is>
          <t>LENOVO</t>
        </is>
      </c>
      <c r="C422" s="2" t="inlineStr">
        <is>
          <t>7Y77S31400</t>
        </is>
      </c>
      <c r="D422" s="2" t="inlineStr">
        <is>
          <t>Система хранения данных DE4000H 4U60 7Y77S31400 LENOVO</t>
        </is>
      </c>
      <c r="E422" s="2" t="inlineStr">
        <is>
          <t>1</t>
        </is>
      </c>
      <c r="F422" s="2" t="inlineStr">
        <is>
          <t>1</t>
        </is>
      </c>
      <c r="H422" s="2">
        <v>120394</v>
      </c>
      <c r="I422" s="2" t="inlineStr">
        <is>
          <t>$</t>
        </is>
      </c>
      <c r="J422" s="2">
        <f>HYPERLINK("https://app.astro.lead-studio.pro/product/b92de016-2873-4464-8acb-2a131ce29df9")</f>
      </c>
    </row>
    <row r="423" spans="1:10" customHeight="0">
      <c r="A423" s="2" t="inlineStr">
        <is>
          <t>Процессоры для серверов</t>
        </is>
      </c>
      <c r="B423" s="2" t="inlineStr">
        <is>
          <t>AMD</t>
        </is>
      </c>
      <c r="C423" s="2" t="inlineStr">
        <is>
          <t>100-000000079</t>
        </is>
      </c>
      <c r="D423" s="2" t="inlineStr">
        <is>
          <t>Процессор EPYC X12 7272 SP3 OEM 120W 2900 100-000000079 AMD</t>
        </is>
      </c>
      <c r="E423" s="2" t="inlineStr">
        <is>
          <t>Нет в наличии</t>
        </is>
      </c>
      <c r="F423" s="2" t="inlineStr">
        <is>
          <t>Нет в наличии</t>
        </is>
      </c>
      <c r="H423" s="2">
        <v>825</v>
      </c>
      <c r="I423" s="2" t="inlineStr">
        <is>
          <t>$</t>
        </is>
      </c>
      <c r="J423" s="2">
        <f>HYPERLINK("https://app.astro.lead-studio.pro/product/17f94301-76cf-42cc-afdc-59b4bc839515")</f>
      </c>
    </row>
    <row r="424" spans="1:10" customHeight="0">
      <c r="A424" s="2" t="inlineStr">
        <is>
          <t>Процессоры для серверов</t>
        </is>
      </c>
      <c r="B424" s="2" t="inlineStr">
        <is>
          <t>AMD</t>
        </is>
      </c>
      <c r="C424" s="2" t="inlineStr">
        <is>
          <t>100-000000329</t>
        </is>
      </c>
      <c r="D424" s="2" t="inlineStr">
        <is>
          <t>Процессор EPYC X16 7313 SP3 OEM 155W 3000 100-000000329 AMD</t>
        </is>
      </c>
      <c r="E424" s="2" t="inlineStr">
        <is>
          <t>6</t>
        </is>
      </c>
      <c r="F424" s="2" t="inlineStr">
        <is>
          <t>6</t>
        </is>
      </c>
      <c r="H424" s="2">
        <v>739</v>
      </c>
      <c r="I424" s="2" t="inlineStr">
        <is>
          <t>$</t>
        </is>
      </c>
      <c r="J424" s="2">
        <f>HYPERLINK("https://app.astro.lead-studio.pro/product/7c99f0c7-b50b-4f2e-aa85-26c5c7a23333")</f>
      </c>
    </row>
    <row r="425" spans="1:10" customHeight="0">
      <c r="A425" s="2" t="inlineStr">
        <is>
          <t>Процессоры для серверов</t>
        </is>
      </c>
      <c r="B425" s="2" t="inlineStr">
        <is>
          <t>AMD</t>
        </is>
      </c>
      <c r="C425" s="2" t="inlineStr">
        <is>
          <t>100-000000323</t>
        </is>
      </c>
      <c r="D425" s="2" t="inlineStr">
        <is>
          <t>Процессор EPYC X24 7413 SP3 OEM 225W 3450 100-000000323 AMD</t>
        </is>
      </c>
      <c r="E425" s="2" t="inlineStr">
        <is>
          <t>3</t>
        </is>
      </c>
      <c r="F425" s="2" t="inlineStr">
        <is>
          <t>3</t>
        </is>
      </c>
      <c r="H425" s="2">
        <v>969</v>
      </c>
      <c r="I425" s="2" t="inlineStr">
        <is>
          <t>$</t>
        </is>
      </c>
      <c r="J425" s="2">
        <f>HYPERLINK("https://app.astro.lead-studio.pro/product/098e974b-df9d-4104-b768-759ae875e437")</f>
      </c>
    </row>
    <row r="426" spans="1:10" customHeight="0">
      <c r="A426" s="2" t="inlineStr">
        <is>
          <t>Процессоры для серверов</t>
        </is>
      </c>
      <c r="B426" s="2" t="inlineStr">
        <is>
          <t>AMD</t>
        </is>
      </c>
      <c r="C426" s="2" t="inlineStr">
        <is>
          <t>100-000000340</t>
        </is>
      </c>
      <c r="D426" s="2" t="inlineStr">
        <is>
          <t>Процессор EPYC X24 7443 SP3 OEM 200W 2850 100-000000340 AMD</t>
        </is>
      </c>
      <c r="E426" s="2" t="inlineStr">
        <is>
          <t>2</t>
        </is>
      </c>
      <c r="F426" s="2" t="inlineStr">
        <is>
          <t>2</t>
        </is>
      </c>
      <c r="H426" s="2">
        <v>1194</v>
      </c>
      <c r="I426" s="2" t="inlineStr">
        <is>
          <t>$</t>
        </is>
      </c>
      <c r="J426" s="2">
        <f>HYPERLINK("https://app.astro.lead-studio.pro/product/a579f965-b74b-4654-aec9-d03764ca147f")</f>
      </c>
    </row>
    <row r="427" spans="1:10" customHeight="0">
      <c r="A427" s="2" t="inlineStr">
        <is>
          <t>Процессоры для серверов</t>
        </is>
      </c>
      <c r="B427" s="2" t="inlineStr">
        <is>
          <t>AMD</t>
        </is>
      </c>
      <c r="C427" s="2" t="inlineStr">
        <is>
          <t>100-000000317</t>
        </is>
      </c>
      <c r="D427" s="2" t="inlineStr">
        <is>
          <t>Процессор EPYC X24 74F3 SP3 OEM 240W 3200 100-000000317 AMD</t>
        </is>
      </c>
      <c r="E427" s="2">
        <v>10</v>
      </c>
      <c r="F427" s="2">
        <v>10</v>
      </c>
      <c r="H427" s="2">
        <v>2085</v>
      </c>
      <c r="I427" s="2" t="inlineStr">
        <is>
          <t>$</t>
        </is>
      </c>
      <c r="J427" s="2">
        <f>HYPERLINK("https://app.astro.lead-studio.pro/product/f25007a1-a452-401d-8dfb-898fb8338533")</f>
      </c>
    </row>
    <row r="428" spans="1:10" customHeight="0">
      <c r="A428" s="2" t="inlineStr">
        <is>
          <t>Процессоры для серверов</t>
        </is>
      </c>
      <c r="B428" s="2" t="inlineStr">
        <is>
          <t>AMD</t>
        </is>
      </c>
      <c r="C428" s="2" t="inlineStr">
        <is>
          <t>100-000000075</t>
        </is>
      </c>
      <c r="D428" s="2" t="inlineStr">
        <is>
          <t>Процессор EPYC X32 7542 SP3 OEM 225W 2900 100-000000075 AMD</t>
        </is>
      </c>
      <c r="E428" s="2" t="inlineStr">
        <is>
          <t>8</t>
        </is>
      </c>
      <c r="F428" s="2" t="inlineStr">
        <is>
          <t>8</t>
        </is>
      </c>
      <c r="H428" s="2">
        <v>899</v>
      </c>
      <c r="I428" s="2" t="inlineStr">
        <is>
          <t>$</t>
        </is>
      </c>
      <c r="J428" s="2">
        <f>HYPERLINK("https://app.astro.lead-studio.pro/product/52395d9d-0f81-4aee-8114-8e015c07811f")</f>
      </c>
    </row>
    <row r="429" spans="1:10" customHeight="0">
      <c r="A429" s="2" t="inlineStr">
        <is>
          <t>Процессоры для серверов</t>
        </is>
      </c>
      <c r="B429" s="2" t="inlineStr">
        <is>
          <t>AMD</t>
        </is>
      </c>
      <c r="C429" s="2" t="inlineStr">
        <is>
          <t>100-000000345</t>
        </is>
      </c>
      <c r="D429" s="2" t="inlineStr">
        <is>
          <t>Процессор EPYC X32 7543 SP3 OEM 225W 3700 100-000000345 AMD</t>
        </is>
      </c>
      <c r="E429" s="2" t="inlineStr">
        <is>
          <t>6</t>
        </is>
      </c>
      <c r="F429" s="2" t="inlineStr">
        <is>
          <t>6</t>
        </is>
      </c>
      <c r="H429" s="2">
        <v>1418</v>
      </c>
      <c r="I429" s="2" t="inlineStr">
        <is>
          <t>$</t>
        </is>
      </c>
      <c r="J429" s="2">
        <f>HYPERLINK("https://app.astro.lead-studio.pro/product/b3765e02-f594-4ea4-8c23-01d993ef2530")</f>
      </c>
    </row>
    <row r="430" spans="1:10" customHeight="0">
      <c r="A430" s="2" t="inlineStr">
        <is>
          <t>Процессоры для серверов</t>
        </is>
      </c>
      <c r="B430" s="2" t="inlineStr">
        <is>
          <t>AMD</t>
        </is>
      </c>
      <c r="C430" s="2" t="inlineStr">
        <is>
          <t>100-000000313</t>
        </is>
      </c>
      <c r="D430" s="2" t="inlineStr">
        <is>
          <t>Процессор EPYC X32 75F3 SP3 OEM 280W 2950 100-000000313 AMD</t>
        </is>
      </c>
      <c r="E430" s="2" t="inlineStr">
        <is>
          <t>5</t>
        </is>
      </c>
      <c r="F430" s="2" t="inlineStr">
        <is>
          <t>5</t>
        </is>
      </c>
      <c r="H430" s="2">
        <v>2330</v>
      </c>
      <c r="I430" s="2" t="inlineStr">
        <is>
          <t>$</t>
        </is>
      </c>
      <c r="J430" s="2">
        <f>HYPERLINK("https://app.astro.lead-studio.pro/product/29c9c864-9461-456f-ab73-d9c2d64b84b4")</f>
      </c>
    </row>
    <row r="431" spans="1:10" customHeight="0">
      <c r="A431" s="2" t="inlineStr">
        <is>
          <t>Процессоры для серверов</t>
        </is>
      </c>
      <c r="B431" s="2" t="inlineStr">
        <is>
          <t>AMD</t>
        </is>
      </c>
      <c r="C431" s="2" t="inlineStr">
        <is>
          <t>100-000000792</t>
        </is>
      </c>
      <c r="D431" s="2" t="inlineStr">
        <is>
          <t>Процессор EPYC X32 9374F SP5 OEM 320W 3850 100-000000792 AMD</t>
        </is>
      </c>
      <c r="E431" s="2">
        <v>10</v>
      </c>
      <c r="F431" s="2">
        <v>10</v>
      </c>
      <c r="H431" s="2">
        <v>3262</v>
      </c>
      <c r="I431" s="2" t="inlineStr">
        <is>
          <t>$</t>
        </is>
      </c>
      <c r="J431" s="2">
        <f>HYPERLINK("https://app.astro.lead-studio.pro/product/4bf6d748-59b1-460e-b323-48f8cfd7835c")</f>
      </c>
    </row>
    <row r="432" spans="1:10" customHeight="0">
      <c r="A432" s="2" t="inlineStr">
        <is>
          <t>Процессоры для серверов</t>
        </is>
      </c>
      <c r="B432" s="2" t="inlineStr">
        <is>
          <t>AMD</t>
        </is>
      </c>
      <c r="C432" s="2" t="inlineStr">
        <is>
          <t>100-000001256</t>
        </is>
      </c>
      <c r="D432" s="2" t="inlineStr">
        <is>
          <t>Процессор EPYC X32 9384X SP5 OEM 320W 3100 100-000001256 AMD</t>
        </is>
      </c>
      <c r="E432" s="2" t="inlineStr">
        <is>
          <t>8</t>
        </is>
      </c>
      <c r="F432" s="2" t="inlineStr">
        <is>
          <t>8</t>
        </is>
      </c>
      <c r="H432" s="2">
        <v>4273</v>
      </c>
      <c r="I432" s="2" t="inlineStr">
        <is>
          <t>$</t>
        </is>
      </c>
      <c r="J432" s="2">
        <f>HYPERLINK("https://app.astro.lead-studio.pro/product/bf8ae72e-67a7-440e-97af-0554bdc563fa")</f>
      </c>
    </row>
    <row r="433" spans="1:10" customHeight="0">
      <c r="A433" s="2" t="inlineStr">
        <is>
          <t>Процессоры для серверов</t>
        </is>
      </c>
      <c r="B433" s="2" t="inlineStr">
        <is>
          <t>AMD</t>
        </is>
      </c>
      <c r="C433" s="2" t="inlineStr">
        <is>
          <t>100-000000478</t>
        </is>
      </c>
      <c r="D433" s="2" t="inlineStr">
        <is>
          <t>Процессор EPYC X48 9454 SP5 OEM 290W 2750 100-000000478 AMD</t>
        </is>
      </c>
      <c r="E433" s="2" t="inlineStr">
        <is>
          <t>1</t>
        </is>
      </c>
      <c r="F433" s="2" t="inlineStr">
        <is>
          <t>1</t>
        </is>
      </c>
      <c r="H433" s="2">
        <v>2816</v>
      </c>
      <c r="I433" s="2" t="inlineStr">
        <is>
          <t>$</t>
        </is>
      </c>
      <c r="J433" s="2">
        <f>HYPERLINK("https://app.astro.lead-studio.pro/product/70c19a1e-28bf-4a9c-bef0-bc9576224d58")</f>
      </c>
    </row>
    <row r="434" spans="1:10" customHeight="0">
      <c r="A434" s="2" t="inlineStr">
        <is>
          <t>Процессоры для серверов</t>
        </is>
      </c>
      <c r="B434" s="2" t="inlineStr">
        <is>
          <t>AMD</t>
        </is>
      </c>
      <c r="C434" s="2" t="inlineStr">
        <is>
          <t>100-000000318</t>
        </is>
      </c>
      <c r="D434" s="2" t="inlineStr">
        <is>
          <t>Процессор EPYC X56 7663 SP3 OEM 240W 3500 100-000000318 AMD</t>
        </is>
      </c>
      <c r="E434" s="2" t="inlineStr">
        <is>
          <t>4</t>
        </is>
      </c>
      <c r="F434" s="2" t="inlineStr">
        <is>
          <t>4</t>
        </is>
      </c>
      <c r="H434" s="2">
        <v>1423</v>
      </c>
      <c r="I434" s="2" t="inlineStr">
        <is>
          <t>$</t>
        </is>
      </c>
      <c r="J434" s="2">
        <f>HYPERLINK("https://app.astro.lead-studio.pro/product/d939cd1c-e75c-4eeb-b661-2530b602d676")</f>
      </c>
    </row>
    <row r="435" spans="1:10" customHeight="0">
      <c r="A435" s="2" t="inlineStr">
        <is>
          <t>Процессоры для серверов</t>
        </is>
      </c>
      <c r="B435" s="2" t="inlineStr">
        <is>
          <t>AMD</t>
        </is>
      </c>
      <c r="C435" s="2" t="inlineStr">
        <is>
          <t>100-000000344</t>
        </is>
      </c>
      <c r="D435" s="2" t="inlineStr">
        <is>
          <t>Процессор EPYC X64 7713 SP3 OEM 225W 3675 100-000000344 AMD</t>
        </is>
      </c>
      <c r="E435" s="2" t="inlineStr">
        <is>
          <t>8</t>
        </is>
      </c>
      <c r="F435" s="2" t="inlineStr">
        <is>
          <t>8</t>
        </is>
      </c>
      <c r="H435" s="2">
        <v>1872</v>
      </c>
      <c r="I435" s="2" t="inlineStr">
        <is>
          <t>$</t>
        </is>
      </c>
      <c r="J435" s="2">
        <f>HYPERLINK("https://app.astro.lead-studio.pro/product/c80dd33b-30ba-499f-9f25-4760d6c141db")</f>
      </c>
    </row>
    <row r="436" spans="1:10" customHeight="0">
      <c r="A436" s="2" t="inlineStr">
        <is>
          <t>Процессоры для серверов</t>
        </is>
      </c>
      <c r="B436" s="2" t="inlineStr">
        <is>
          <t>AMD</t>
        </is>
      </c>
      <c r="C436" s="2" t="inlineStr">
        <is>
          <t>100-000000312</t>
        </is>
      </c>
      <c r="D436" s="2" t="inlineStr">
        <is>
          <t>Процессор EPYC X64 7763 SP3 OEM 280W 3500 100-000000312 AMD</t>
        </is>
      </c>
      <c r="E436" s="2">
        <v>10</v>
      </c>
      <c r="F436" s="2">
        <v>10</v>
      </c>
      <c r="H436" s="2">
        <v>1928</v>
      </c>
      <c r="I436" s="2" t="inlineStr">
        <is>
          <t>$</t>
        </is>
      </c>
      <c r="J436" s="2">
        <f>HYPERLINK("https://app.astro.lead-studio.pro/product/1167ddcb-055b-48ac-bf09-3608180fa38c")</f>
      </c>
    </row>
    <row r="437" spans="1:10" customHeight="0">
      <c r="A437" s="2" t="inlineStr">
        <is>
          <t>Процессоры для серверов</t>
        </is>
      </c>
      <c r="B437" s="2" t="inlineStr">
        <is>
          <t>AMD</t>
        </is>
      </c>
      <c r="C437" s="2" t="inlineStr">
        <is>
          <t>100-000001254</t>
        </is>
      </c>
      <c r="D437" s="2" t="inlineStr">
        <is>
          <t>Процессор EPYC X96 9684X SP5 OEM 400W 2550 100-000001254 AMD</t>
        </is>
      </c>
      <c r="E437" s="2" t="inlineStr">
        <is>
          <t>8</t>
        </is>
      </c>
      <c r="F437" s="2" t="inlineStr">
        <is>
          <t>8</t>
        </is>
      </c>
      <c r="H437" s="2">
        <v>5993</v>
      </c>
      <c r="I437" s="2" t="inlineStr">
        <is>
          <t>$</t>
        </is>
      </c>
      <c r="J437" s="2">
        <f>HYPERLINK("https://app.astro.lead-studio.pro/product/dc27091b-0d6f-41b8-af26-24c4fad75066")</f>
      </c>
    </row>
    <row r="438" spans="1:10" customHeight="0">
      <c r="A438" s="2" t="inlineStr">
        <is>
          <t>Процессоры для серверов</t>
        </is>
      </c>
      <c r="B438" s="2" t="inlineStr">
        <is>
          <t>INTEL</t>
        </is>
      </c>
      <c r="C438" s="2" t="inlineStr">
        <is>
          <t>PK8071305120002 99C6LF</t>
        </is>
      </c>
      <c r="D438" s="2" t="inlineStr">
        <is>
          <t>Процессор Intel Xeon 2000/16GT/30M S4677 SILV 4410Y PK8071305120002 IN</t>
        </is>
      </c>
      <c r="E438" s="2">
        <v>10</v>
      </c>
      <c r="F438" s="2">
        <v>10</v>
      </c>
      <c r="H438" s="2">
        <v>564</v>
      </c>
      <c r="I438" s="2" t="inlineStr">
        <is>
          <t>$</t>
        </is>
      </c>
      <c r="J438" s="2">
        <f>HYPERLINK("https://app.astro.lead-studio.pro/product/fb62539d-0e51-4b48-88bc-15263ebbe43b")</f>
      </c>
    </row>
    <row r="439" spans="1:10" customHeight="0">
      <c r="A439" s="2" t="inlineStr">
        <is>
          <t>Процессоры для серверов</t>
        </is>
      </c>
      <c r="B439" s="2" t="inlineStr">
        <is>
          <t>INTEL</t>
        </is>
      </c>
      <c r="C439" s="2" t="inlineStr">
        <is>
          <t>PK8071305120600_S_RMGL 99C6M4</t>
        </is>
      </c>
      <c r="D439" s="2" t="inlineStr">
        <is>
          <t>Процессор Intel Xeon 2000/16GT/52.5M S4677 GOLD 5420+ PK8071305120600 IN</t>
        </is>
      </c>
      <c r="E439" s="2" t="inlineStr">
        <is>
          <t>10</t>
        </is>
      </c>
      <c r="F439" s="2" t="inlineStr">
        <is>
          <t>10</t>
        </is>
      </c>
      <c r="H439" s="2">
        <v>2042</v>
      </c>
      <c r="I439" s="2" t="inlineStr">
        <is>
          <t>$</t>
        </is>
      </c>
      <c r="J439" s="2">
        <f>HYPERLINK("https://app.astro.lead-studio.pro/product/563c5276-3f4f-414e-b917-ab433f076a24")</f>
      </c>
    </row>
    <row r="440" spans="1:10" customHeight="0">
      <c r="A440" s="2" t="inlineStr">
        <is>
          <t>Процессоры для серверов</t>
        </is>
      </c>
      <c r="B440" s="2" t="inlineStr">
        <is>
          <t>INTEL</t>
        </is>
      </c>
      <c r="C440" s="2" t="inlineStr">
        <is>
          <t>PK8071305120701 99C6M7</t>
        </is>
      </c>
      <c r="D440" s="2" t="inlineStr">
        <is>
          <t>Процессор Intel Xeon 2000/16GT/60M S4677 GOLD 6438Y+ PK8071305120701 IN</t>
        </is>
      </c>
      <c r="E440" s="2" t="inlineStr">
        <is>
          <t>9</t>
        </is>
      </c>
      <c r="F440" s="2" t="inlineStr">
        <is>
          <t>9</t>
        </is>
      </c>
      <c r="H440" s="2">
        <v>2513</v>
      </c>
      <c r="I440" s="2" t="inlineStr">
        <is>
          <t>$</t>
        </is>
      </c>
      <c r="J440" s="2">
        <f>HYPERLINK("https://app.astro.lead-studio.pro/product/1b53c7c7-6617-4a39-8cdf-77716a638358")</f>
      </c>
    </row>
    <row r="441" spans="1:10" customHeight="0">
      <c r="A441" s="2" t="inlineStr">
        <is>
          <t>Процессоры для серверов</t>
        </is>
      </c>
      <c r="B441" s="2" t="inlineStr">
        <is>
          <t>INTEL</t>
        </is>
      </c>
      <c r="C441" s="2" t="inlineStr">
        <is>
          <t>PK8072205559100_S_RN6J</t>
        </is>
      </c>
      <c r="D441" s="2" t="inlineStr">
        <is>
          <t>Процессор Intel Xeon 2000/30M FCLGA16N SILV 4514Y PK8072205559100 IN</t>
        </is>
      </c>
      <c r="E441" s="2" t="inlineStr">
        <is>
          <t>2</t>
        </is>
      </c>
      <c r="F441" s="2" t="inlineStr">
        <is>
          <t>2</t>
        </is>
      </c>
      <c r="H441" s="2">
        <v>1085</v>
      </c>
      <c r="I441" s="2" t="inlineStr">
        <is>
          <t>$</t>
        </is>
      </c>
      <c r="J441" s="2">
        <f>HYPERLINK("https://app.astro.lead-studio.pro/product/ad5a55eb-50e7-43da-bd41-868a5dfbc22a")</f>
      </c>
    </row>
    <row r="442" spans="1:10" customHeight="0">
      <c r="A442" s="2" t="inlineStr">
        <is>
          <t>Процессоры для серверов</t>
        </is>
      </c>
      <c r="B442" s="2" t="inlineStr">
        <is>
          <t>INTEL</t>
        </is>
      </c>
      <c r="C442" s="2" t="inlineStr">
        <is>
          <t>CD8068904572101 S RKHM 99A9HG</t>
        </is>
      </c>
      <c r="D442" s="2" t="inlineStr">
        <is>
          <t>Процессор Intel Xeon 2000/42M S4189 OEM GOLD6330 CD8068904572101 IN</t>
        </is>
      </c>
      <c r="E442" s="2">
        <v>10</v>
      </c>
      <c r="F442" s="2">
        <v>10</v>
      </c>
      <c r="H442" s="2">
        <v>1163</v>
      </c>
      <c r="I442" s="2" t="inlineStr">
        <is>
          <t>$</t>
        </is>
      </c>
      <c r="J442" s="2">
        <f>HYPERLINK("https://app.astro.lead-studio.pro/product/b4d1a063-b52d-468b-b3ae-a5b711c137a0")</f>
      </c>
    </row>
    <row r="443" spans="1:10" customHeight="0">
      <c r="A443" s="2" t="inlineStr">
        <is>
          <t>Процессоры для серверов</t>
        </is>
      </c>
      <c r="B443" s="2" t="inlineStr">
        <is>
          <t>INTEL</t>
        </is>
      </c>
      <c r="C443" s="2" t="inlineStr">
        <is>
          <t>CD8068904572501 S RKJ9 99A9LX</t>
        </is>
      </c>
      <c r="D443" s="2" t="inlineStr">
        <is>
          <t>Процессор Intel Xeon 2000/48M S4189 OEM GOLD 6338 CD8068904572501 IN</t>
        </is>
      </c>
      <c r="E443" s="2">
        <v>100</v>
      </c>
      <c r="F443" s="2">
        <v>100</v>
      </c>
      <c r="H443" s="2">
        <v>1897</v>
      </c>
      <c r="I443" s="2" t="inlineStr">
        <is>
          <t>$</t>
        </is>
      </c>
      <c r="J443" s="2">
        <f>HYPERLINK("https://app.astro.lead-studio.pro/product/a666a9fe-6721-4cbb-99ad-72e8c6817c5f")</f>
      </c>
    </row>
    <row r="444" spans="1:10" customHeight="0">
      <c r="A444" s="2" t="inlineStr">
        <is>
          <t>Процессоры для серверов</t>
        </is>
      </c>
      <c r="B444" s="2" t="inlineStr">
        <is>
          <t>INTEL</t>
        </is>
      </c>
      <c r="C444" s="2" t="inlineStr">
        <is>
          <t>CD8069503956401 S RFBM 999CMF</t>
        </is>
      </c>
      <c r="D444" s="2" t="inlineStr">
        <is>
          <t>Процессор Intel Xeon 2100/11M S3647 OEM SILVER 4208 CD8069503956401 IN</t>
        </is>
      </c>
      <c r="E444" s="2">
        <v>40</v>
      </c>
      <c r="F444" s="2">
        <v>40</v>
      </c>
      <c r="H444" s="2">
        <v>365</v>
      </c>
      <c r="I444" s="2" t="inlineStr">
        <is>
          <t>$</t>
        </is>
      </c>
      <c r="J444" s="2">
        <f>HYPERLINK("https://app.astro.lead-studio.pro/product/42b98d5f-87cb-4817-9ce1-30ac2a52fc57")</f>
      </c>
    </row>
    <row r="445" spans="1:10" customHeight="0">
      <c r="A445" s="2" t="inlineStr">
        <is>
          <t>Процессоры для серверов</t>
        </is>
      </c>
      <c r="B445" s="2" t="inlineStr">
        <is>
          <t>INTEL</t>
        </is>
      </c>
      <c r="C445" s="2" t="inlineStr">
        <is>
          <t>PK8071305120802 99C6MD</t>
        </is>
      </c>
      <c r="D445" s="2" t="inlineStr">
        <is>
          <t>Процессор Intel Xeon 2100/16GT/60M S4677 GOLD 6448Y PK8071305120802 IN</t>
        </is>
      </c>
      <c r="E445" s="2" t="inlineStr">
        <is>
          <t>Нет в наличии</t>
        </is>
      </c>
      <c r="F445" s="2" t="inlineStr">
        <is>
          <t>Нет в наличии</t>
        </is>
      </c>
      <c r="H445" s="2">
        <v>3688</v>
      </c>
      <c r="I445" s="2" t="inlineStr">
        <is>
          <t>$</t>
        </is>
      </c>
      <c r="J445" s="2">
        <f>HYPERLINK("https://app.astro.lead-studio.pro/product/d3bd842c-b859-429a-a37d-34337331fbf7")</f>
      </c>
    </row>
    <row r="446" spans="1:10" customHeight="0">
      <c r="A446" s="2" t="inlineStr">
        <is>
          <t>Процессоры для серверов</t>
        </is>
      </c>
      <c r="B446" s="2" t="inlineStr">
        <is>
          <t>INTEL</t>
        </is>
      </c>
      <c r="C446" s="2" t="inlineStr">
        <is>
          <t>CD8068904657901 S RKXN 99AHJ2</t>
        </is>
      </c>
      <c r="D446" s="2" t="inlineStr">
        <is>
          <t>Процессор Intel Xeon 2100/18M S4189 OEM SILVER4310 CD8068904657901 IN</t>
        </is>
      </c>
      <c r="E446" s="2">
        <v>100</v>
      </c>
      <c r="F446" s="2">
        <v>100</v>
      </c>
      <c r="H446" s="2">
        <v>602</v>
      </c>
      <c r="I446" s="2" t="inlineStr">
        <is>
          <t>$</t>
        </is>
      </c>
      <c r="J446" s="2">
        <f>HYPERLINK("https://app.astro.lead-studio.pro/product/b1d8dd20-6360-487c-a97b-ac3e0fcc24e8")</f>
      </c>
    </row>
    <row r="447" spans="1:10" customHeight="0">
      <c r="A447" s="2" t="inlineStr">
        <is>
          <t>Процессоры для серверов</t>
        </is>
      </c>
      <c r="B447" s="2" t="inlineStr">
        <is>
          <t>INTEL</t>
        </is>
      </c>
      <c r="C447" s="2" t="inlineStr">
        <is>
          <t>CD8069504446300 S RGZ7 999PKD</t>
        </is>
      </c>
      <c r="D447" s="2" t="inlineStr">
        <is>
          <t>Процессор Intel Xeon 2100/27.5M S3647 OEM GOLD 5218R CD8069504446300 IN</t>
        </is>
      </c>
      <c r="E447" s="2">
        <v>40</v>
      </c>
      <c r="F447" s="2">
        <v>40</v>
      </c>
      <c r="H447" s="2">
        <v>1012</v>
      </c>
      <c r="I447" s="2" t="inlineStr">
        <is>
          <t>$</t>
        </is>
      </c>
      <c r="J447" s="2">
        <f>HYPERLINK("https://app.astro.lead-studio.pro/product/fd8ba6a8-3269-4f05-8854-c758b18c9872")</f>
      </c>
    </row>
    <row r="448" spans="1:10" customHeight="0">
      <c r="A448" s="2" t="inlineStr">
        <is>
          <t>Процессоры для серверов</t>
        </is>
      </c>
      <c r="B448" s="2" t="inlineStr">
        <is>
          <t>INTEL</t>
        </is>
      </c>
      <c r="C448" s="2" t="inlineStr">
        <is>
          <t>CD8068904656703 S RKXE 99AHHN</t>
        </is>
      </c>
      <c r="D448" s="2" t="inlineStr">
        <is>
          <t>Процессор Intel Xeon 2100/36M S4189 OEM GOLD5318Y CD8068904656703 IN</t>
        </is>
      </c>
      <c r="E448" s="2">
        <v>40</v>
      </c>
      <c r="F448" s="2">
        <v>40</v>
      </c>
      <c r="H448" s="2">
        <v>1318</v>
      </c>
      <c r="I448" s="2" t="inlineStr">
        <is>
          <t>$</t>
        </is>
      </c>
      <c r="J448" s="2">
        <f>HYPERLINK("https://app.astro.lead-studio.pro/product/da486e95-d3f0-443d-bfb5-c4f5034b38f2")</f>
      </c>
    </row>
    <row r="449" spans="1:10" customHeight="0">
      <c r="A449" s="2" t="inlineStr">
        <is>
          <t>Процессоры для серверов</t>
        </is>
      </c>
      <c r="B449" s="2" t="inlineStr">
        <is>
          <t>INTEL</t>
        </is>
      </c>
      <c r="C449" s="2" t="inlineStr">
        <is>
          <t>CD8069504451301 PULL</t>
        </is>
      </c>
      <c r="D449" s="2" t="inlineStr">
        <is>
          <t>Процессор Intel Xeon 2200/35.75M S3647 OEM GOLD 5220R CD8069504451301 IN</t>
        </is>
      </c>
      <c r="E449" s="2" t="inlineStr">
        <is>
          <t>8</t>
        </is>
      </c>
      <c r="F449" s="2" t="inlineStr">
        <is>
          <t>8</t>
        </is>
      </c>
      <c r="H449" s="2">
        <v>1400</v>
      </c>
      <c r="I449" s="2" t="inlineStr">
        <is>
          <t>$</t>
        </is>
      </c>
      <c r="J449" s="2">
        <f>HYPERLINK("https://app.astro.lead-studio.pro/product/20c242d5-149b-4f2b-91ef-1302762c057c")</f>
      </c>
    </row>
    <row r="450" spans="1:10" customHeight="0">
      <c r="A450" s="2" t="inlineStr">
        <is>
          <t>Процессоры для серверов</t>
        </is>
      </c>
      <c r="B450" s="2" t="inlineStr">
        <is>
          <t>INTEL</t>
        </is>
      </c>
      <c r="C450" s="2" t="inlineStr">
        <is>
          <t>CD8069504448701 S RGZ9 999PKG</t>
        </is>
      </c>
      <c r="D450" s="2" t="inlineStr">
        <is>
          <t>Процессор Intel Xeon 2200/38.5M S3647 OEM 6238R CD8069504448701 IN</t>
        </is>
      </c>
      <c r="E450" s="2">
        <v>10</v>
      </c>
      <c r="F450" s="2">
        <v>10</v>
      </c>
      <c r="H450" s="2">
        <v>1844</v>
      </c>
      <c r="I450" s="2" t="inlineStr">
        <is>
          <t>$</t>
        </is>
      </c>
      <c r="J450" s="2">
        <f>HYPERLINK("https://app.astro.lead-studio.pro/product/1d929eaf-ee5a-4241-90f6-bbcd136f24af")</f>
      </c>
    </row>
    <row r="451" spans="1:10" customHeight="0">
      <c r="A451" s="2" t="inlineStr">
        <is>
          <t>Процессоры для серверов</t>
        </is>
      </c>
      <c r="B451" s="2" t="inlineStr">
        <is>
          <t>INTEL</t>
        </is>
      </c>
      <c r="C451" s="2" t="inlineStr">
        <is>
          <t>PK8072205559200_S_RN6K</t>
        </is>
      </c>
      <c r="D451" s="2" t="inlineStr">
        <is>
          <t>Процессор Intel Xeon 2200/45M S4677 OEM SILVER4516Y+PK8072205559200 IN</t>
        </is>
      </c>
      <c r="E451" s="2" t="inlineStr">
        <is>
          <t>3</t>
        </is>
      </c>
      <c r="F451" s="2" t="inlineStr">
        <is>
          <t>3</t>
        </is>
      </c>
      <c r="H451" s="2">
        <v>1819</v>
      </c>
      <c r="I451" s="2" t="inlineStr">
        <is>
          <t>$</t>
        </is>
      </c>
      <c r="J451" s="2">
        <f>HYPERLINK("https://app.astro.lead-studio.pro/product/253cf596-c38f-452f-a390-d5c0cc4d6f00")</f>
      </c>
    </row>
    <row r="452" spans="1:10" customHeight="0">
      <c r="A452" s="2" t="inlineStr">
        <is>
          <t>Процессоры для серверов</t>
        </is>
      </c>
      <c r="B452" s="2" t="inlineStr">
        <is>
          <t>INTEL</t>
        </is>
      </c>
      <c r="C452" s="2" t="inlineStr">
        <is>
          <t>PK8072205559300 S RN6L</t>
        </is>
      </c>
      <c r="D452" s="2" t="inlineStr">
        <is>
          <t>Процессор Intel Xeon 2200/52.5M S4677 OEM GOLD 5520+ PK8072205559300 IN</t>
        </is>
      </c>
      <c r="E452" s="2" t="inlineStr">
        <is>
          <t>4</t>
        </is>
      </c>
      <c r="F452" s="2" t="inlineStr">
        <is>
          <t>4</t>
        </is>
      </c>
      <c r="H452" s="2">
        <v>2308</v>
      </c>
      <c r="I452" s="2" t="inlineStr">
        <is>
          <t>$</t>
        </is>
      </c>
      <c r="J452" s="2">
        <f>HYPERLINK("https://app.astro.lead-studio.pro/product/c8c6e6c8-389e-4175-ba2b-a8f1f342d7ec")</f>
      </c>
    </row>
    <row r="453" spans="1:10" customHeight="0">
      <c r="A453" s="2" t="inlineStr">
        <is>
          <t>Процессоры для серверов</t>
        </is>
      </c>
      <c r="B453" s="2" t="inlineStr">
        <is>
          <t>INTEL</t>
        </is>
      </c>
      <c r="C453" s="2" t="inlineStr">
        <is>
          <t>CD8068904659101_S_RKXJ 99AHHV</t>
        </is>
      </c>
      <c r="D453" s="2" t="inlineStr">
        <is>
          <t>Процессор Intel Xeon 2300/30M S4189 OEM GOLD 5320T CD8068904659101 IN</t>
        </is>
      </c>
      <c r="E453" s="2" t="inlineStr">
        <is>
          <t>1</t>
        </is>
      </c>
      <c r="F453" s="2" t="inlineStr">
        <is>
          <t>1</t>
        </is>
      </c>
      <c r="H453" s="2">
        <v>1979</v>
      </c>
      <c r="I453" s="2" t="inlineStr">
        <is>
          <t>$</t>
        </is>
      </c>
      <c r="J453" s="2">
        <f>HYPERLINK("https://app.astro.lead-studio.pro/product/8362177c-eeed-499a-80d3-0f7a0d9e0c96")</f>
      </c>
    </row>
    <row r="454" spans="1:10" customHeight="0">
      <c r="A454" s="2" t="inlineStr">
        <is>
          <t>Процессоры для серверов</t>
        </is>
      </c>
      <c r="B454" s="2" t="inlineStr">
        <is>
          <t>INTEL</t>
        </is>
      </c>
      <c r="C454" s="2" t="inlineStr">
        <is>
          <t>CD8068904656601 S RKXH 99AHHT</t>
        </is>
      </c>
      <c r="D454" s="2" t="inlineStr">
        <is>
          <t>Процессор Intel Xeon 2300/30M S4189 OEM SILVER4316 CD8068904656601 IN</t>
        </is>
      </c>
      <c r="E454" s="2">
        <v>10</v>
      </c>
      <c r="F454" s="2">
        <v>10</v>
      </c>
      <c r="H454" s="2">
        <v>1162</v>
      </c>
      <c r="I454" s="2" t="inlineStr">
        <is>
          <t>$</t>
        </is>
      </c>
      <c r="J454" s="2">
        <f>HYPERLINK("https://app.astro.lead-studio.pro/product/9bf9562f-bf6d-4846-a2e3-cc761dda5ebb")</f>
      </c>
    </row>
    <row r="455" spans="1:10" customHeight="0">
      <c r="A455" s="2" t="inlineStr">
        <is>
          <t>Процессоры для серверов</t>
        </is>
      </c>
      <c r="B455" s="2" t="inlineStr">
        <is>
          <t>INTEL</t>
        </is>
      </c>
      <c r="C455" s="2" t="inlineStr">
        <is>
          <t>CD8068904572601_S_RKHR</t>
        </is>
      </c>
      <c r="D455" s="2" t="inlineStr">
        <is>
          <t>Процессор Intel Xeon 2300/60M S4189 OEM PLATIN8380 CD8068904572601 IN</t>
        </is>
      </c>
      <c r="E455" s="2">
        <v>10</v>
      </c>
      <c r="F455" s="2">
        <v>10</v>
      </c>
      <c r="H455" s="2">
        <v>7865</v>
      </c>
      <c r="I455" s="2" t="inlineStr">
        <is>
          <t>$</t>
        </is>
      </c>
      <c r="J455" s="2">
        <f>HYPERLINK("https://app.astro.lead-studio.pro/product/b693d5af-2ace-4768-afb4-8ce69f2c9a8f")</f>
      </c>
    </row>
    <row r="456" spans="1:10" customHeight="0">
      <c r="A456" s="2" t="inlineStr">
        <is>
          <t>Процессоры для серверов</t>
        </is>
      </c>
      <c r="B456" s="2" t="inlineStr">
        <is>
          <t>INTEL</t>
        </is>
      </c>
      <c r="C456" s="2" t="inlineStr">
        <is>
          <t>CD8069504344500 S RG24 999H5K</t>
        </is>
      </c>
      <c r="D456" s="2" t="inlineStr">
        <is>
          <t>Процессор Intel Xeon 2400/13.75M S3647 OEM SILV 4210R CD8069504344500 IN</t>
        </is>
      </c>
      <c r="E456" s="2">
        <v>40</v>
      </c>
      <c r="F456" s="2">
        <v>40</v>
      </c>
      <c r="H456" s="2">
        <v>454</v>
      </c>
      <c r="I456" s="2" t="inlineStr">
        <is>
          <t>$</t>
        </is>
      </c>
      <c r="J456" s="2">
        <f>HYPERLINK("https://app.astro.lead-studio.pro/product/85f181d2-b1b8-405b-bee7-0c102088c131")</f>
      </c>
    </row>
    <row r="457" spans="1:10" customHeight="0">
      <c r="A457" s="2" t="inlineStr">
        <is>
          <t>Процессоры для серверов</t>
        </is>
      </c>
      <c r="B457" s="2" t="inlineStr">
        <is>
          <t>INTEL</t>
        </is>
      </c>
      <c r="C457" s="2" t="inlineStr">
        <is>
          <t>CD8069504448600 S RGZ8 999PKF</t>
        </is>
      </c>
      <c r="D457" s="2" t="inlineStr">
        <is>
          <t>Процессор Intel Xeon 2400/35.75M S3647 OEM 6240R CD8069504448600 IN</t>
        </is>
      </c>
      <c r="E457" s="2" t="inlineStr">
        <is>
          <t>7</t>
        </is>
      </c>
      <c r="F457" s="2" t="inlineStr">
        <is>
          <t>7</t>
        </is>
      </c>
      <c r="H457" s="2">
        <v>1665</v>
      </c>
      <c r="I457" s="2" t="inlineStr">
        <is>
          <t>$</t>
        </is>
      </c>
      <c r="J457" s="2">
        <f>HYPERLINK("https://app.astro.lead-studio.pro/product/152d01c3-820c-4fb0-89e3-ae8e095d9799")</f>
      </c>
    </row>
    <row r="458" spans="1:10" customHeight="0">
      <c r="A458" s="2" t="inlineStr">
        <is>
          <t>Процессоры для серверов</t>
        </is>
      </c>
      <c r="B458" s="2" t="inlineStr">
        <is>
          <t>INTEL</t>
        </is>
      </c>
      <c r="C458" s="2" t="inlineStr">
        <is>
          <t>CD8068904658702 S RKXB 99AHHC</t>
        </is>
      </c>
      <c r="D458" s="2" t="inlineStr">
        <is>
          <t>Процессор Intel Xeon 2400/36M S4189 OEM GOLD6336Y CD8068904658702 IN</t>
        </is>
      </c>
      <c r="E458" s="2">
        <v>100</v>
      </c>
      <c r="F458" s="2">
        <v>100</v>
      </c>
      <c r="H458" s="2">
        <v>2188</v>
      </c>
      <c r="I458" s="2" t="inlineStr">
        <is>
          <t>$</t>
        </is>
      </c>
      <c r="J458" s="2">
        <f>HYPERLINK("https://app.astro.lead-studio.pro/product/6acb542a-aa77-477d-9210-a0d584a3ae4e")</f>
      </c>
    </row>
    <row r="459" spans="1:10" customHeight="0">
      <c r="A459" s="2" t="inlineStr">
        <is>
          <t>Процессоры для серверов</t>
        </is>
      </c>
      <c r="B459" s="2" t="inlineStr">
        <is>
          <t>INTEL</t>
        </is>
      </c>
      <c r="C459" s="2" t="inlineStr">
        <is>
          <t>CD8068904572001</t>
        </is>
      </c>
      <c r="D459" s="2" t="inlineStr">
        <is>
          <t>Процессор Intel Xeon 2400/57M S4189 OEM PLATIN8368 CD8068904572001 IN</t>
        </is>
      </c>
      <c r="E459" s="2" t="inlineStr">
        <is>
          <t>7</t>
        </is>
      </c>
      <c r="F459" s="2" t="inlineStr">
        <is>
          <t>7</t>
        </is>
      </c>
      <c r="H459" s="2">
        <v>2868</v>
      </c>
      <c r="I459" s="2" t="inlineStr">
        <is>
          <t>$</t>
        </is>
      </c>
      <c r="J459" s="2">
        <f>HYPERLINK("https://app.astro.lead-studio.pro/product/82b4483f-3082-4f80-bd44-2d1613eab718")</f>
      </c>
    </row>
    <row r="460" spans="1:10" customHeight="0">
      <c r="A460" s="2" t="inlineStr">
        <is>
          <t>Процессоры для серверов</t>
        </is>
      </c>
      <c r="B460" s="2" t="inlineStr">
        <is>
          <t>INTEL</t>
        </is>
      </c>
      <c r="C460" s="2" t="inlineStr">
        <is>
          <t>PK8071305120102 99C6LG</t>
        </is>
      </c>
      <c r="D460" s="2" t="inlineStr">
        <is>
          <t>Процессор Intel Xeon 2500/16GT/37.5M S4677 GOLD 6426Y PK8071305120102 IN</t>
        </is>
      </c>
      <c r="E460" s="2" t="inlineStr">
        <is>
          <t>1</t>
        </is>
      </c>
      <c r="F460" s="2" t="inlineStr">
        <is>
          <t>1</t>
        </is>
      </c>
      <c r="H460" s="2">
        <v>1619</v>
      </c>
      <c r="I460" s="2" t="inlineStr">
        <is>
          <t>$</t>
        </is>
      </c>
      <c r="J460" s="2">
        <f>HYPERLINK("https://app.astro.lead-studio.pro/product/cbae9caf-2bf7-438a-8006-745072f2c6fd")</f>
      </c>
    </row>
    <row r="461" spans="1:10" customHeight="0">
      <c r="A461" s="2" t="inlineStr">
        <is>
          <t>Процессоры для серверов</t>
        </is>
      </c>
      <c r="B461" s="2" t="inlineStr">
        <is>
          <t>INTEL</t>
        </is>
      </c>
      <c r="C461" s="2" t="inlineStr">
        <is>
          <t>PK8071305120500_S_RMGK 99C6M3</t>
        </is>
      </c>
      <c r="D461" s="2" t="inlineStr">
        <is>
          <t>Процессор Intel Xeon 2600/16GT/60M S4677 GOLD 6442Y PK8071305120500 IN</t>
        </is>
      </c>
      <c r="E461" s="2" t="inlineStr">
        <is>
          <t>1</t>
        </is>
      </c>
      <c r="F461" s="2" t="inlineStr">
        <is>
          <t>1</t>
        </is>
      </c>
      <c r="H461" s="2">
        <v>2872</v>
      </c>
      <c r="I461" s="2" t="inlineStr">
        <is>
          <t>$</t>
        </is>
      </c>
      <c r="J461" s="2">
        <f>HYPERLINK("https://app.astro.lead-studio.pro/product/88da3d32-6e32-4161-b2d8-5d6e8bc940d3")</f>
      </c>
    </row>
    <row r="462" spans="1:10" customHeight="0">
      <c r="A462" s="2" t="inlineStr">
        <is>
          <t>Процессоры для серверов</t>
        </is>
      </c>
      <c r="B462" s="2" t="inlineStr">
        <is>
          <t>INTEL</t>
        </is>
      </c>
      <c r="C462" s="2" t="inlineStr">
        <is>
          <t>PK8071305554400 PULL</t>
        </is>
      </c>
      <c r="D462" s="2" t="inlineStr">
        <is>
          <t>Процессор Intel Xeon 2600/22.5M S4677 OEM SILV 4509Y PK8071305554400 IN</t>
        </is>
      </c>
      <c r="E462" s="2" t="inlineStr">
        <is>
          <t>10</t>
        </is>
      </c>
      <c r="F462" s="2" t="inlineStr">
        <is>
          <t>10</t>
        </is>
      </c>
      <c r="H462" s="2">
        <v>839</v>
      </c>
      <c r="I462" s="2" t="inlineStr">
        <is>
          <t>$</t>
        </is>
      </c>
      <c r="J462" s="2">
        <f>HYPERLINK("https://app.astro.lead-studio.pro/product/c2a2962d-9d1f-4e19-8387-b2e52f0b635c")</f>
      </c>
    </row>
    <row r="463" spans="1:10" customHeight="0">
      <c r="A463" s="2" t="inlineStr">
        <is>
          <t>Процессоры для серверов</t>
        </is>
      </c>
      <c r="B463" s="2" t="inlineStr">
        <is>
          <t>INTEL</t>
        </is>
      </c>
      <c r="C463" s="2" t="inlineStr">
        <is>
          <t>CD8068904572204 S RKHP 99A9HV</t>
        </is>
      </c>
      <c r="D463" s="2" t="inlineStr">
        <is>
          <t>Процессор Intel Xeon 2600/42M S4189 OEM GOLD 6348 CD8068904572204 IN</t>
        </is>
      </c>
      <c r="E463" s="2">
        <v>100</v>
      </c>
      <c r="F463" s="2">
        <v>100</v>
      </c>
      <c r="H463" s="2">
        <v>2501</v>
      </c>
      <c r="I463" s="2" t="inlineStr">
        <is>
          <t>$</t>
        </is>
      </c>
      <c r="J463" s="2">
        <f>HYPERLINK("https://app.astro.lead-studio.pro/product/eea682a7-e048-43f3-af25-2f636740dfbb")</f>
      </c>
    </row>
    <row r="464" spans="1:10" customHeight="0">
      <c r="A464" s="2" t="inlineStr">
        <is>
          <t>Процессоры для серверов</t>
        </is>
      </c>
      <c r="B464" s="2" t="inlineStr">
        <is>
          <t>INTEL</t>
        </is>
      </c>
      <c r="C464" s="2" t="inlineStr">
        <is>
          <t>CD8069504283804 S RFPT 999FW5</t>
        </is>
      </c>
      <c r="D464" s="2" t="inlineStr">
        <is>
          <t>Процессор Intel Xeon 2700/24.75M S3647 OEM GOLD 5220S CD8069504283804 IN</t>
        </is>
      </c>
      <c r="E464" s="2" t="inlineStr">
        <is>
          <t>1</t>
        </is>
      </c>
      <c r="F464" s="2" t="inlineStr">
        <is>
          <t>1</t>
        </is>
      </c>
      <c r="H464" s="2">
        <v>1028</v>
      </c>
      <c r="I464" s="2" t="inlineStr">
        <is>
          <t>$</t>
        </is>
      </c>
      <c r="J464" s="2">
        <f>HYPERLINK("https://app.astro.lead-studio.pro/product/34c28f28-25e9-4c5f-9cbe-f7e6ad298e2c")</f>
      </c>
    </row>
    <row r="465" spans="1:10" customHeight="0">
      <c r="A465" s="2" t="inlineStr">
        <is>
          <t>Процессоры для серверов</t>
        </is>
      </c>
      <c r="B465" s="2" t="inlineStr">
        <is>
          <t>INTEL</t>
        </is>
      </c>
      <c r="C465" s="2" t="inlineStr">
        <is>
          <t>CD8068904658102 S RKXS</t>
        </is>
      </c>
      <c r="D465" s="2" t="inlineStr">
        <is>
          <t>Процессор Intel Xeon 2800/12M S4189 OEM SIL4309Y CD8068904658102 INTEL</t>
        </is>
      </c>
      <c r="E465" s="2" t="inlineStr">
        <is>
          <t>2</t>
        </is>
      </c>
      <c r="F465" s="2" t="inlineStr">
        <is>
          <t>2</t>
        </is>
      </c>
      <c r="H465" s="2">
        <v>713</v>
      </c>
      <c r="I465" s="2" t="inlineStr">
        <is>
          <t>$</t>
        </is>
      </c>
      <c r="J465" s="2">
        <f>HYPERLINK("https://app.astro.lead-studio.pro/product/56122bac-73ff-4223-bf3a-5451cf7049fd")</f>
      </c>
    </row>
    <row r="466" spans="1:10" customHeight="0">
      <c r="A466" s="2" t="inlineStr">
        <is>
          <t>Процессоры для серверов</t>
        </is>
      </c>
      <c r="B466" s="2" t="inlineStr">
        <is>
          <t>INTEL</t>
        </is>
      </c>
      <c r="C466" s="2" t="inlineStr">
        <is>
          <t>CD8068904658102 S RKXS</t>
        </is>
      </c>
      <c r="D466" s="2" t="inlineStr">
        <is>
          <t>Процессор Intel Xeon 2800/12M S4189 OEM SIL4309Y CD8068904658102 INTEL</t>
        </is>
      </c>
      <c r="E466" s="2" t="inlineStr">
        <is>
          <t>4</t>
        </is>
      </c>
      <c r="F466" s="2" t="inlineStr">
        <is>
          <t>4</t>
        </is>
      </c>
      <c r="H466" s="2">
        <v>642</v>
      </c>
      <c r="I466" s="2" t="inlineStr">
        <is>
          <t>$</t>
        </is>
      </c>
      <c r="J466" s="2">
        <f>HYPERLINK("https://app.astro.lead-studio.pro/product/56122bac-73ff-4223-bf3a-5451cf7049fd")</f>
      </c>
    </row>
    <row r="467" spans="1:10" customHeight="0">
      <c r="A467" s="2" t="inlineStr">
        <is>
          <t>Процессоры для серверов</t>
        </is>
      </c>
      <c r="B467" s="2" t="inlineStr">
        <is>
          <t>INTEL</t>
        </is>
      </c>
      <c r="C467" s="2" t="inlineStr">
        <is>
          <t>CM8070804494916_S_RKN1</t>
        </is>
      </c>
      <c r="D467" s="2" t="inlineStr">
        <is>
          <t>Процессор Intel Xeon 2800/16M S1200 OEM E-2378G CM8070804494916 IN</t>
        </is>
      </c>
      <c r="E467" s="2" t="inlineStr">
        <is>
          <t>10</t>
        </is>
      </c>
      <c r="F467" s="2" t="inlineStr">
        <is>
          <t>10</t>
        </is>
      </c>
      <c r="H467" s="2">
        <v>872</v>
      </c>
      <c r="I467" s="2" t="inlineStr">
        <is>
          <t>$</t>
        </is>
      </c>
      <c r="J467" s="2">
        <f>HYPERLINK("https://app.astro.lead-studio.pro/product/0297a758-6cf8-4eb5-9963-bdb949f58196")</f>
      </c>
    </row>
    <row r="468" spans="1:10" customHeight="0">
      <c r="A468" s="2" t="inlineStr">
        <is>
          <t>Процессоры для серверов</t>
        </is>
      </c>
      <c r="B468" s="2" t="inlineStr">
        <is>
          <t>INTEL</t>
        </is>
      </c>
      <c r="C468" s="2" t="inlineStr">
        <is>
          <t>CD8068904657701 S RKXA 99AHHA</t>
        </is>
      </c>
      <c r="D468" s="2" t="inlineStr">
        <is>
          <t>Процессор Intel Xeon 2800/36M S4189 OEM GOLD6342 CD8068904657701 SRKXA IN</t>
        </is>
      </c>
      <c r="E468" s="2">
        <v>100</v>
      </c>
      <c r="F468" s="2">
        <v>100</v>
      </c>
      <c r="H468" s="2">
        <v>2789</v>
      </c>
      <c r="I468" s="2" t="inlineStr">
        <is>
          <t>$</t>
        </is>
      </c>
      <c r="J468" s="2">
        <f>HYPERLINK("https://app.astro.lead-studio.pro/product/114dab56-cfac-45e2-a0a5-2a718b5b536b")</f>
      </c>
    </row>
    <row r="469" spans="1:10" customHeight="0">
      <c r="A469" s="2" t="inlineStr">
        <is>
          <t>Процессоры для серверов</t>
        </is>
      </c>
      <c r="B469" s="2" t="inlineStr">
        <is>
          <t>INTEL</t>
        </is>
      </c>
      <c r="C469" s="2" t="inlineStr">
        <is>
          <t>CD8068904722404 S RKY3 99AHXM</t>
        </is>
      </c>
      <c r="D469" s="2" t="inlineStr">
        <is>
          <t>Процессор Intel Xeon 2800/48M S3647 OEM PLATIN8362 CD8068904722404 IN</t>
        </is>
      </c>
      <c r="E469" s="2">
        <v>10</v>
      </c>
      <c r="F469" s="2">
        <v>10</v>
      </c>
      <c r="H469" s="2">
        <v>5229</v>
      </c>
      <c r="I469" s="2" t="inlineStr">
        <is>
          <t>$</t>
        </is>
      </c>
      <c r="J469" s="2">
        <f>HYPERLINK("https://app.astro.lead-studio.pro/product/f420755e-4673-4092-b169-ff2181ff090d")</f>
      </c>
    </row>
    <row r="470" spans="1:10" customHeight="0">
      <c r="A470" s="2" t="inlineStr">
        <is>
          <t>Процессоры для серверов</t>
        </is>
      </c>
      <c r="B470" s="2" t="inlineStr">
        <is>
          <t>INTEL</t>
        </is>
      </c>
      <c r="C470" s="2" t="inlineStr">
        <is>
          <t>PK8071305118701_S_RMGC 99C6L6</t>
        </is>
      </c>
      <c r="D470" s="2" t="inlineStr">
        <is>
          <t>Процессор Intel Xeon 2900/16GT/22.5M S4677 GOLD 5415+ PK8071305118701 IN</t>
        </is>
      </c>
      <c r="E470" s="2" t="inlineStr">
        <is>
          <t>2</t>
        </is>
      </c>
      <c r="F470" s="2" t="inlineStr">
        <is>
          <t>2</t>
        </is>
      </c>
      <c r="H470" s="2">
        <v>1298</v>
      </c>
      <c r="I470" s="2" t="inlineStr">
        <is>
          <t>$</t>
        </is>
      </c>
      <c r="J470" s="2">
        <f>HYPERLINK("https://app.astro.lead-studio.pro/product/db09bbdf-27ca-400a-84fa-30ba3b687caa")</f>
      </c>
    </row>
    <row r="471" spans="1:10" customHeight="0">
      <c r="A471" s="2" t="inlineStr">
        <is>
          <t>Процессоры для серверов</t>
        </is>
      </c>
      <c r="B471" s="2" t="inlineStr">
        <is>
          <t>INTEL</t>
        </is>
      </c>
      <c r="C471" s="2" t="inlineStr">
        <is>
          <t>CD8068904657502 S RKXK 99AHHX</t>
        </is>
      </c>
      <c r="D471" s="2" t="inlineStr">
        <is>
          <t>Процессор Intel Xeon 2900/24M S4189 OEM GOLD6326 CD8068904657502 IN</t>
        </is>
      </c>
      <c r="E471" s="2">
        <v>100</v>
      </c>
      <c r="F471" s="2">
        <v>100</v>
      </c>
      <c r="H471" s="2">
        <v>1608</v>
      </c>
      <c r="I471" s="2" t="inlineStr">
        <is>
          <t>$</t>
        </is>
      </c>
      <c r="J471" s="2">
        <f>HYPERLINK("https://app.astro.lead-studio.pro/product/13eab1ba-2c40-4ca7-9630-ff2795ab89d5")</f>
      </c>
    </row>
    <row r="472" spans="1:10" customHeight="0">
      <c r="A472" s="2" t="inlineStr">
        <is>
          <t>Процессоры для серверов</t>
        </is>
      </c>
      <c r="B472" s="2" t="inlineStr">
        <is>
          <t>INTEL</t>
        </is>
      </c>
      <c r="C472" s="2" t="inlineStr">
        <is>
          <t>CD8068904657302 S RKXM 99AHJ0</t>
        </is>
      </c>
      <c r="D472" s="2" t="inlineStr">
        <is>
          <t>Процессор Intel Xeon 3000/18M S4189 OEM GOLD5317 CD8068904657302 IN</t>
        </is>
      </c>
      <c r="E472" s="2">
        <v>100</v>
      </c>
      <c r="F472" s="2">
        <v>100</v>
      </c>
      <c r="H472" s="2">
        <v>1409</v>
      </c>
      <c r="I472" s="2" t="inlineStr">
        <is>
          <t>$</t>
        </is>
      </c>
      <c r="J472" s="2">
        <f>HYPERLINK("https://app.astro.lead-studio.pro/product/954e481b-0d8e-4f9e-9309-d85bba674037")</f>
      </c>
    </row>
    <row r="473" spans="1:10" customHeight="0">
      <c r="A473" s="2" t="inlineStr">
        <is>
          <t>Процессоры для серверов</t>
        </is>
      </c>
      <c r="B473" s="2" t="inlineStr">
        <is>
          <t>INTEL</t>
        </is>
      </c>
      <c r="C473" s="2" t="inlineStr">
        <is>
          <t>CD8069504449401 S RGZG 999PL1</t>
        </is>
      </c>
      <c r="D473" s="2" t="inlineStr">
        <is>
          <t>Процессор Intel Xeon 3000/35.75M S3647 OEM GOLD 6248R CD8069504449401 IN</t>
        </is>
      </c>
      <c r="E473" s="2">
        <v>10</v>
      </c>
      <c r="F473" s="2">
        <v>10</v>
      </c>
      <c r="H473" s="2">
        <v>1912</v>
      </c>
      <c r="I473" s="2" t="inlineStr">
        <is>
          <t>$</t>
        </is>
      </c>
      <c r="J473" s="2">
        <f>HYPERLINK("https://app.astro.lead-studio.pro/product/018eb1ba-e924-4267-b433-e9f6e5ad21c0")</f>
      </c>
    </row>
    <row r="474" spans="1:10" customHeight="0">
      <c r="A474" s="2" t="inlineStr">
        <is>
          <t>Процессоры для серверов</t>
        </is>
      </c>
      <c r="B474" s="2" t="inlineStr">
        <is>
          <t>INTEL</t>
        </is>
      </c>
      <c r="C474" s="2" t="inlineStr">
        <is>
          <t>CD8068904571601 S RKH7 99A9D6</t>
        </is>
      </c>
      <c r="D474" s="2" t="inlineStr">
        <is>
          <t>Процессор Intel Xeon 3000/39M S4189 OEM GOLD6354 CD8068904571601 IN</t>
        </is>
      </c>
      <c r="E474" s="2">
        <v>40</v>
      </c>
      <c r="F474" s="2">
        <v>40</v>
      </c>
      <c r="H474" s="2">
        <v>2568</v>
      </c>
      <c r="I474" s="2" t="inlineStr">
        <is>
          <t>$</t>
        </is>
      </c>
      <c r="J474" s="2">
        <f>HYPERLINK("https://app.astro.lead-studio.pro/product/e213c887-36b9-40bb-9347-b6ace9e4de4e")</f>
      </c>
    </row>
    <row r="475" spans="1:10" customHeight="0">
      <c r="A475" s="2" t="inlineStr">
        <is>
          <t>Процессоры для серверов</t>
        </is>
      </c>
      <c r="B475" s="2" t="inlineStr">
        <is>
          <t>INTEL</t>
        </is>
      </c>
      <c r="C475" s="2" t="inlineStr">
        <is>
          <t>CD8069504449601 S RGZJ 999PL3</t>
        </is>
      </c>
      <c r="D475" s="2" t="inlineStr">
        <is>
          <t>Процессор Intel Xeon 3100/35.75M S3647 OEM GOLD 6242R CD8069504449601 IN</t>
        </is>
      </c>
      <c r="E475" s="2">
        <v>10</v>
      </c>
      <c r="F475" s="2">
        <v>10</v>
      </c>
      <c r="H475" s="2">
        <v>1548</v>
      </c>
      <c r="I475" s="2" t="inlineStr">
        <is>
          <t>$</t>
        </is>
      </c>
      <c r="J475" s="2">
        <f>HYPERLINK("https://app.astro.lead-studio.pro/product/85a138d8-5f34-44bf-b401-771dcb103d02")</f>
      </c>
    </row>
    <row r="476" spans="1:10" customHeight="0">
      <c r="A476" s="2" t="inlineStr">
        <is>
          <t>Процессоры для серверов</t>
        </is>
      </c>
      <c r="B476" s="2" t="inlineStr">
        <is>
          <t>INTEL</t>
        </is>
      </c>
      <c r="C476" s="2" t="inlineStr">
        <is>
          <t>CD8069504449601 S RGZJ 999PL3</t>
        </is>
      </c>
      <c r="D476" s="2" t="inlineStr">
        <is>
          <t>Процессор Intel Xeon 3100/35.75M S3647 OEM GOLD 6242R CD8069504449601 IN</t>
        </is>
      </c>
      <c r="E476" s="2" t="inlineStr">
        <is>
          <t>9</t>
        </is>
      </c>
      <c r="F476" s="2" t="inlineStr">
        <is>
          <t>9</t>
        </is>
      </c>
      <c r="H476" s="2">
        <v>1530</v>
      </c>
      <c r="I476" s="2" t="inlineStr">
        <is>
          <t>$</t>
        </is>
      </c>
      <c r="J476" s="2">
        <f>HYPERLINK("https://app.astro.lead-studio.pro/product/85a138d8-5f34-44bf-b401-771dcb103d02")</f>
      </c>
    </row>
    <row r="477" spans="1:10" customHeight="0">
      <c r="A477" s="2" t="inlineStr">
        <is>
          <t>Процессоры для серверов</t>
        </is>
      </c>
      <c r="B477" s="2" t="inlineStr">
        <is>
          <t>INTEL</t>
        </is>
      </c>
      <c r="C477" s="2" t="inlineStr">
        <is>
          <t>CD8068904570201 S RKHN 99A9HL</t>
        </is>
      </c>
      <c r="D477" s="2" t="inlineStr">
        <is>
          <t>Процессор Intel Xeon 3100/36M S4189 OEM GOLD6346 CD8068904570201 IN</t>
        </is>
      </c>
      <c r="E477" s="2">
        <v>100</v>
      </c>
      <c r="F477" s="2">
        <v>100</v>
      </c>
      <c r="H477" s="2">
        <v>1975</v>
      </c>
      <c r="I477" s="2" t="inlineStr">
        <is>
          <t>$</t>
        </is>
      </c>
      <c r="J477" s="2">
        <f>HYPERLINK("https://app.astro.lead-studio.pro/product/3a34d0fb-5d8c-48e4-b78a-c81f45dd89d3")</f>
      </c>
    </row>
    <row r="478" spans="1:10" customHeight="0">
      <c r="A478" s="2" t="inlineStr">
        <is>
          <t>Процессоры для серверов</t>
        </is>
      </c>
      <c r="B478" s="2" t="inlineStr">
        <is>
          <t>INTEL</t>
        </is>
      </c>
      <c r="C478" s="2" t="inlineStr">
        <is>
          <t>PK8072205559000 S RN6H</t>
        </is>
      </c>
      <c r="D478" s="2" t="inlineStr">
        <is>
          <t>Процессор Intel Xeon 3200/22.5M S4677 OEM GOLD 5515+ PK8072205559000 IN</t>
        </is>
      </c>
      <c r="E478" s="2" t="inlineStr">
        <is>
          <t>4</t>
        </is>
      </c>
      <c r="F478" s="2" t="inlineStr">
        <is>
          <t>4</t>
        </is>
      </c>
      <c r="H478" s="2">
        <v>1841</v>
      </c>
      <c r="I478" s="2" t="inlineStr">
        <is>
          <t>$</t>
        </is>
      </c>
      <c r="J478" s="2">
        <f>HYPERLINK("https://app.astro.lead-studio.pro/product/e9eb84c8-aa37-4745-8958-b9b84033b022")</f>
      </c>
    </row>
    <row r="479" spans="1:10" customHeight="0">
      <c r="A479" s="2" t="inlineStr">
        <is>
          <t>Процессоры для серверов</t>
        </is>
      </c>
      <c r="B479" s="2" t="inlineStr">
        <is>
          <t>INTEL</t>
        </is>
      </c>
      <c r="C479" s="2" t="inlineStr">
        <is>
          <t>CM8071505024520 S RMX6</t>
        </is>
      </c>
      <c r="D479" s="2" t="inlineStr">
        <is>
          <t>Процессор Intel Xeon 3200/24M S1700 OEM E-2488 CM8071505024520 IN</t>
        </is>
      </c>
      <c r="E479" s="2">
        <v>10</v>
      </c>
      <c r="F479" s="2">
        <v>10</v>
      </c>
      <c r="H479" s="2">
        <v>847</v>
      </c>
      <c r="I479" s="2" t="inlineStr">
        <is>
          <t>$</t>
        </is>
      </c>
      <c r="J479" s="2">
        <f>HYPERLINK("https://app.astro.lead-studio.pro/product/61ae51ed-78b8-4033-befe-42cbb384aed3")</f>
      </c>
    </row>
    <row r="480" spans="1:10" customHeight="0">
      <c r="A480" s="2" t="inlineStr">
        <is>
          <t>Процессоры для серверов</t>
        </is>
      </c>
      <c r="B480" s="2" t="inlineStr">
        <is>
          <t>INTEL</t>
        </is>
      </c>
      <c r="C480" s="2" t="inlineStr">
        <is>
          <t>CM8071505024905 S RMXA</t>
        </is>
      </c>
      <c r="D480" s="2" t="inlineStr">
        <is>
          <t>Процессор Intel Xeon 3300/18M FCLGA16A E-2456 CM8071505024905 IN</t>
        </is>
      </c>
      <c r="E480" s="2" t="inlineStr">
        <is>
          <t>9</t>
        </is>
      </c>
      <c r="F480" s="2" t="inlineStr">
        <is>
          <t>9</t>
        </is>
      </c>
      <c r="H480" s="2">
        <v>531</v>
      </c>
      <c r="I480" s="2" t="inlineStr">
        <is>
          <t>$</t>
        </is>
      </c>
      <c r="J480" s="2">
        <f>HYPERLINK("https://app.astro.lead-studio.pro/product/cf2d3f81-28e4-4893-8720-42dc88961906")</f>
      </c>
    </row>
    <row r="481" spans="1:10" customHeight="0">
      <c r="A481" s="2" t="inlineStr">
        <is>
          <t>Процессоры для серверов</t>
        </is>
      </c>
      <c r="B481" s="2" t="inlineStr">
        <is>
          <t>INTEL</t>
        </is>
      </c>
      <c r="C481" s="2" t="inlineStr">
        <is>
          <t>CD8069504283304 S RFPN 999FVZ</t>
        </is>
      </c>
      <c r="D481" s="2" t="inlineStr">
        <is>
          <t>Процессор Intel Xeon 3300/24.75M S3647 OEM GOLD 6234 CD8069504283304 IN</t>
        </is>
      </c>
      <c r="E481" s="2" t="inlineStr">
        <is>
          <t>2</t>
        </is>
      </c>
      <c r="F481" s="2" t="inlineStr">
        <is>
          <t>2</t>
        </is>
      </c>
      <c r="H481" s="2">
        <v>1601</v>
      </c>
      <c r="I481" s="2" t="inlineStr">
        <is>
          <t>$</t>
        </is>
      </c>
      <c r="J481" s="2">
        <f>HYPERLINK("https://app.astro.lead-studio.pro/product/c2a27b50-685b-455b-9303-1b5ee13f9a2f")</f>
      </c>
    </row>
    <row r="482" spans="1:10" customHeight="0">
      <c r="A482" s="2" t="inlineStr">
        <is>
          <t>Процессоры для серверов</t>
        </is>
      </c>
      <c r="B482" s="2" t="inlineStr">
        <is>
          <t>INTEL</t>
        </is>
      </c>
      <c r="C482" s="2" t="inlineStr">
        <is>
          <t>CM8068404174603 S RF7G 999ADX</t>
        </is>
      </c>
      <c r="D482" s="2" t="inlineStr">
        <is>
          <t>Процессор Intel Xeon 3400/12M S1151 OEM E-2236 CM8068404174603 IN</t>
        </is>
      </c>
      <c r="E482" s="2" t="inlineStr">
        <is>
          <t>9</t>
        </is>
      </c>
      <c r="F482" s="2" t="inlineStr">
        <is>
          <t>9</t>
        </is>
      </c>
      <c r="H482" s="2">
        <v>450</v>
      </c>
      <c r="I482" s="2" t="inlineStr">
        <is>
          <t>$</t>
        </is>
      </c>
      <c r="J482" s="2">
        <f>HYPERLINK("https://app.astro.lead-studio.pro/product/15c86beb-15e6-410f-84fd-0293a22a4367")</f>
      </c>
    </row>
    <row r="483" spans="1:10" customHeight="0">
      <c r="A483" s="2" t="inlineStr">
        <is>
          <t>Процессоры для серверов</t>
        </is>
      </c>
      <c r="B483" s="2" t="inlineStr">
        <is>
          <t>INTEL</t>
        </is>
      </c>
      <c r="C483" s="2" t="inlineStr">
        <is>
          <t>CD8069504449801 S RGZL 999PL5</t>
        </is>
      </c>
      <c r="D483" s="2" t="inlineStr">
        <is>
          <t>Процессор Intel Xeon 3400/35.75M S3647 OEM GOLD 6246R CD8069504449801 IN</t>
        </is>
      </c>
      <c r="E483" s="2">
        <v>10</v>
      </c>
      <c r="F483" s="2">
        <v>10</v>
      </c>
      <c r="H483" s="2">
        <v>1654</v>
      </c>
      <c r="I483" s="2" t="inlineStr">
        <is>
          <t>$</t>
        </is>
      </c>
      <c r="J483" s="2">
        <f>HYPERLINK("https://app.astro.lead-studio.pro/product/fa0bb04c-db97-482f-a20f-c1121743423f")</f>
      </c>
    </row>
    <row r="484" spans="1:10" customHeight="0">
      <c r="A484" s="2" t="inlineStr">
        <is>
          <t>Процессоры для серверов</t>
        </is>
      </c>
      <c r="B484" s="2" t="inlineStr">
        <is>
          <t>INTEL</t>
        </is>
      </c>
      <c r="C484" s="2" t="inlineStr">
        <is>
          <t>CD8069504449801 S RGZL 999PL5</t>
        </is>
      </c>
      <c r="D484" s="2" t="inlineStr">
        <is>
          <t>Процессор Intel Xeon 3400/35.75M S3647 OEM GOLD 6246R CD8069504449801 IN</t>
        </is>
      </c>
      <c r="E484" s="2" t="inlineStr">
        <is>
          <t>8</t>
        </is>
      </c>
      <c r="F484" s="2" t="inlineStr">
        <is>
          <t>8</t>
        </is>
      </c>
      <c r="H484" s="2">
        <v>1640</v>
      </c>
      <c r="I484" s="2" t="inlineStr">
        <is>
          <t>$</t>
        </is>
      </c>
      <c r="J484" s="2">
        <f>HYPERLINK("https://app.astro.lead-studio.pro/product/fa0bb04c-db97-482f-a20f-c1121743423f")</f>
      </c>
    </row>
    <row r="485" spans="1:10" customHeight="0">
      <c r="A485" s="2" t="inlineStr">
        <is>
          <t>Процессоры для серверов</t>
        </is>
      </c>
      <c r="B485" s="2" t="inlineStr">
        <is>
          <t>INTEL</t>
        </is>
      </c>
      <c r="C485" s="2" t="inlineStr">
        <is>
          <t>CM8070804494716_S_RKN0</t>
        </is>
      </c>
      <c r="D485" s="2" t="inlineStr">
        <is>
          <t>Процессор Intel Xeon 3500/12M S1200 OEM E-2386G CM8070804494716 IN</t>
        </is>
      </c>
      <c r="E485" s="2">
        <v>10</v>
      </c>
      <c r="F485" s="2">
        <v>10</v>
      </c>
      <c r="H485" s="2">
        <v>667</v>
      </c>
      <c r="I485" s="2" t="inlineStr">
        <is>
          <t>$</t>
        </is>
      </c>
      <c r="J485" s="2">
        <f>HYPERLINK("https://app.astro.lead-studio.pro/product/132b4ac8-d9c2-4ebb-889e-984d68109c33")</f>
      </c>
    </row>
    <row r="486" spans="1:10" customHeight="0">
      <c r="A486" s="2" t="inlineStr">
        <is>
          <t>Процессоры для серверов</t>
        </is>
      </c>
      <c r="B486" s="2" t="inlineStr">
        <is>
          <t>INTEL</t>
        </is>
      </c>
      <c r="C486" s="2" t="inlineStr">
        <is>
          <t>PK8071305118801 PULL</t>
        </is>
      </c>
      <c r="D486" s="2" t="inlineStr">
        <is>
          <t>Процессор Intel Xeon 3700/16GT/22.5M S4677 GOLD 6434 PK8071305118801 IN</t>
        </is>
      </c>
      <c r="E486" s="2" t="inlineStr">
        <is>
          <t>6</t>
        </is>
      </c>
      <c r="F486" s="2" t="inlineStr">
        <is>
          <t>6</t>
        </is>
      </c>
      <c r="H486" s="2">
        <v>2839</v>
      </c>
      <c r="I486" s="2" t="inlineStr">
        <is>
          <t>$</t>
        </is>
      </c>
      <c r="J486" s="2">
        <f>HYPERLINK("https://app.astro.lead-studio.pro/product/5800873e-10bc-478d-a5a7-cb2490b41d91")</f>
      </c>
    </row>
    <row r="487" spans="1:10" customHeight="0">
      <c r="A487" s="2" t="inlineStr">
        <is>
          <t>Процессоры для серверов</t>
        </is>
      </c>
      <c r="B487" s="2" t="inlineStr">
        <is>
          <t>INTEL</t>
        </is>
      </c>
      <c r="C487" s="2" t="inlineStr">
        <is>
          <t>CM8068404173706 S RF7C 999ADR</t>
        </is>
      </c>
      <c r="D487" s="2" t="inlineStr">
        <is>
          <t>Процессор Intel Xeon 4000/12M S1151 OEM E-2286G CM8068404173706 IN</t>
        </is>
      </c>
      <c r="E487" s="2" t="inlineStr">
        <is>
          <t>6</t>
        </is>
      </c>
      <c r="F487" s="2" t="inlineStr">
        <is>
          <t>6</t>
        </is>
      </c>
      <c r="H487" s="2">
        <v>654</v>
      </c>
      <c r="I487" s="2" t="inlineStr">
        <is>
          <t>$</t>
        </is>
      </c>
      <c r="J487" s="2">
        <f>HYPERLINK("https://app.astro.lead-studio.pro/product/6688c0f9-3571-4da3-bf30-b2f855612f3b")</f>
      </c>
    </row>
    <row r="488" spans="1:10" customHeight="0">
      <c r="A488" s="2" t="inlineStr">
        <is>
          <t>Серверы</t>
        </is>
      </c>
      <c r="B488" s="2" t="inlineStr">
        <is>
          <t>HP</t>
        </is>
      </c>
      <c r="C488" s="2" t="inlineStr">
        <is>
          <t>E7V95A</t>
        </is>
      </c>
      <c r="D488" s="2" t="inlineStr">
        <is>
          <t>Кабель 10M MINI SAS HIGH E7V95A HPE</t>
        </is>
      </c>
      <c r="E488" s="2" t="inlineStr">
        <is>
          <t>4</t>
        </is>
      </c>
      <c r="F488" s="2" t="inlineStr">
        <is>
          <t>4</t>
        </is>
      </c>
      <c r="H488" s="2">
        <v>444</v>
      </c>
      <c r="I488" s="2" t="inlineStr">
        <is>
          <t>$</t>
        </is>
      </c>
      <c r="J488" s="2">
        <f>HYPERLINK("https://app.astro.lead-studio.pro/product/829a72b9-02a7-488c-9e05-f2ba69aeec7f")</f>
      </c>
    </row>
    <row r="489" spans="1:10" customHeight="0">
      <c r="A489" s="2" t="inlineStr">
        <is>
          <t>Серверы</t>
        </is>
      </c>
      <c r="B489" s="2" t="inlineStr">
        <is>
          <t>LENOVO</t>
        </is>
      </c>
      <c r="C489" s="2" t="inlineStr">
        <is>
          <t>4C57A14368</t>
        </is>
      </c>
      <c r="D489" s="2" t="inlineStr">
        <is>
          <t>Контроллер для СХД DE2000/4000 4C57A14368 LENOVO</t>
        </is>
      </c>
      <c r="E489" s="2" t="inlineStr">
        <is>
          <t>2</t>
        </is>
      </c>
      <c r="F489" s="2" t="inlineStr">
        <is>
          <t>2</t>
        </is>
      </c>
      <c r="H489" s="2">
        <v>5862</v>
      </c>
      <c r="I489" s="2" t="inlineStr">
        <is>
          <t>$</t>
        </is>
      </c>
      <c r="J489" s="2">
        <f>HYPERLINK("https://app.astro.lead-studio.pro/product/d0216ce2-8583-4226-a551-0191648df8be")</f>
      </c>
    </row>
    <row r="490" spans="1:10" customHeight="0">
      <c r="A490" s="2" t="inlineStr">
        <is>
          <t>Серверы</t>
        </is>
      </c>
      <c r="B490" s="2" t="inlineStr">
        <is>
          <t>HUAWEI</t>
        </is>
      </c>
      <c r="C490" s="2" t="inlineStr">
        <is>
          <t>02313CLX</t>
        </is>
      </c>
      <c r="D490" s="2" t="inlineStr">
        <is>
          <t>Сервер IMASTER-NCE 2288X V5 H22X-05-NCEE-128G HUAWEI</t>
        </is>
      </c>
      <c r="E490" s="2" t="inlineStr">
        <is>
          <t>2</t>
        </is>
      </c>
      <c r="F490" s="2" t="inlineStr">
        <is>
          <t>2</t>
        </is>
      </c>
      <c r="H490" s="2">
        <v>17872</v>
      </c>
      <c r="I490" s="2" t="inlineStr">
        <is>
          <t>$</t>
        </is>
      </c>
      <c r="J490" s="2">
        <f>HYPERLINK("https://app.astro.lead-studio.pro/product/b3c76799-9f49-434e-a641-47777cd90410")</f>
      </c>
    </row>
    <row r="491" spans="1:10" customHeight="0">
      <c r="A491" s="2" t="inlineStr">
        <is>
          <t>Серверы</t>
        </is>
      </c>
      <c r="B491" s="2" t="inlineStr">
        <is>
          <t>LENOVO</t>
        </is>
      </c>
      <c r="C491" s="2" t="inlineStr">
        <is>
          <t>7X06CTOLWW</t>
        </is>
      </c>
      <c r="D491" s="2" t="inlineStr">
        <is>
          <t>Сервер SR650 7X06CTOLWW SR650 LENOVO</t>
        </is>
      </c>
      <c r="E491" s="2" t="inlineStr">
        <is>
          <t>4</t>
        </is>
      </c>
      <c r="F491" s="2" t="inlineStr">
        <is>
          <t>4</t>
        </is>
      </c>
      <c r="H491" s="2">
        <v>98406</v>
      </c>
      <c r="I491" s="2" t="inlineStr">
        <is>
          <t>$</t>
        </is>
      </c>
      <c r="J491" s="2">
        <f>HYPERLINK("https://app.astro.lead-studio.pro/product/609724af-5f32-4ea5-8579-187ce098b28b")</f>
      </c>
    </row>
    <row r="492" spans="1:10" customHeight="0">
      <c r="A492" s="2" t="inlineStr">
        <is>
          <t>Серверы</t>
        </is>
      </c>
      <c r="B492" s="2" t="inlineStr">
        <is>
          <t>HUAWEI</t>
        </is>
      </c>
      <c r="C492" s="2" t="inlineStr">
        <is>
          <t>02311XDB-SET88</t>
        </is>
      </c>
      <c r="D492" s="2" t="inlineStr">
        <is>
          <t>Серверная система HUAWEI 1U rack 6248R Предустановленные CPU 2 DDR4 Блок питания Redundant-Power-Cap</t>
        </is>
      </c>
      <c r="E492" s="2" t="inlineStr">
        <is>
          <t>1</t>
        </is>
      </c>
      <c r="F492" s="2" t="inlineStr">
        <is>
          <t>1</t>
        </is>
      </c>
      <c r="H492" s="2">
        <v>23440</v>
      </c>
      <c r="I492" s="2" t="inlineStr">
        <is>
          <t>$</t>
        </is>
      </c>
      <c r="J492" s="2">
        <f>HYPERLINK("https://app.astro.lead-studio.pro/product/58f56bd9-3c32-4feb-bbea-cd8950d278d2")</f>
      </c>
    </row>
    <row r="493" spans="1:10" customHeight="0">
      <c r="A493" s="2" t="inlineStr">
        <is>
          <t>Серверы</t>
        </is>
      </c>
      <c r="B493" s="2" t="inlineStr">
        <is>
          <t>LENOVO</t>
        </is>
      </c>
      <c r="C493" s="2" t="inlineStr">
        <is>
          <t>7Y63S3UB00</t>
        </is>
      </c>
      <c r="D493" s="2" t="inlineStr">
        <is>
          <t>Система хранения данных HEAD 2U12 LFF 7Y63S3UB00 DE120S LENOVO</t>
        </is>
      </c>
      <c r="E493" s="2" t="inlineStr">
        <is>
          <t>1</t>
        </is>
      </c>
      <c r="F493" s="2" t="inlineStr">
        <is>
          <t>1</t>
        </is>
      </c>
      <c r="H493" s="2">
        <v>34119</v>
      </c>
      <c r="I493" s="2" t="inlineStr">
        <is>
          <t>$</t>
        </is>
      </c>
      <c r="J493" s="2">
        <f>HYPERLINK("https://app.astro.lead-studio.pro/product/e43943be-156c-482d-b347-43fafa96d9a1")</f>
      </c>
    </row>
    <row r="494" spans="1:10" customHeight="0">
      <c r="A494" s="2" t="inlineStr">
        <is>
          <t>Серверы</t>
        </is>
      </c>
      <c r="B494" s="2" t="inlineStr">
        <is>
          <t>LENOVO</t>
        </is>
      </c>
      <c r="C494" s="2" t="inlineStr">
        <is>
          <t>6413LC1</t>
        </is>
      </c>
      <c r="D494" s="2" t="inlineStr">
        <is>
          <t>Система хранения данных HEAD D3284 D3284 LENOVO</t>
        </is>
      </c>
      <c r="E494" s="2" t="inlineStr">
        <is>
          <t>2</t>
        </is>
      </c>
      <c r="F494" s="2" t="inlineStr">
        <is>
          <t>2</t>
        </is>
      </c>
      <c r="H494" s="2">
        <v>586574</v>
      </c>
      <c r="I494" s="2" t="inlineStr">
        <is>
          <t>$</t>
        </is>
      </c>
      <c r="J494" s="2">
        <f>HYPERLINK("https://app.astro.lead-studio.pro/product/b5195bf2-adbe-44f6-939e-3314f32393ca")</f>
      </c>
    </row>
    <row r="495" spans="1:10" customHeight="0">
      <c r="A495" s="2" t="inlineStr">
        <is>
          <t>Серверы</t>
        </is>
      </c>
      <c r="B495" s="2" t="inlineStr">
        <is>
          <t>LENOVO</t>
        </is>
      </c>
      <c r="C495" s="2" t="inlineStr">
        <is>
          <t>6413LC1</t>
        </is>
      </c>
      <c r="D495" s="2" t="inlineStr">
        <is>
          <t>Система хранения данных HEAD D3284 D3284 LENOVO</t>
        </is>
      </c>
      <c r="E495" s="2" t="inlineStr">
        <is>
          <t>4</t>
        </is>
      </c>
      <c r="F495" s="2" t="inlineStr">
        <is>
          <t>4</t>
        </is>
      </c>
      <c r="H495" s="2">
        <v>573648</v>
      </c>
      <c r="I495" s="2" t="inlineStr">
        <is>
          <t>$</t>
        </is>
      </c>
      <c r="J495" s="2">
        <f>HYPERLINK("https://app.astro.lead-studio.pro/product/b5195bf2-adbe-44f6-939e-3314f32393ca")</f>
      </c>
    </row>
    <row r="496" spans="1:10" customHeight="0">
      <c r="A496" s="2" t="inlineStr">
        <is>
          <t>Серверы</t>
        </is>
      </c>
      <c r="B496" s="2" t="inlineStr">
        <is>
          <t>LENOVO</t>
        </is>
      </c>
      <c r="C496" s="2" t="inlineStr">
        <is>
          <t>7Y78S4A100</t>
        </is>
      </c>
      <c r="D496" s="2" t="inlineStr">
        <is>
          <t>Система хранения данных HEAD DE6000H 7Y78S4A100 DE6000H LENOVO</t>
        </is>
      </c>
      <c r="E496" s="2" t="inlineStr">
        <is>
          <t>1</t>
        </is>
      </c>
      <c r="F496" s="2" t="inlineStr">
        <is>
          <t>1</t>
        </is>
      </c>
      <c r="H496" s="2">
        <v>164581</v>
      </c>
      <c r="I496" s="2" t="inlineStr">
        <is>
          <t>$</t>
        </is>
      </c>
      <c r="J496" s="2">
        <f>HYPERLINK("https://app.astro.lead-studio.pro/product/8247c418-6e16-42f9-a32d-22cbc88a39ff")</f>
      </c>
    </row>
    <row r="497" spans="1:10" customHeight="0">
      <c r="A497" s="2" t="inlineStr">
        <is>
          <t>Серверы</t>
        </is>
      </c>
      <c r="B497" s="2" t="inlineStr">
        <is>
          <t>HP</t>
        </is>
      </c>
      <c r="C497" s="2" t="inlineStr">
        <is>
          <t>J8S08B</t>
        </is>
      </c>
      <c r="D497" s="2" t="inlineStr">
        <is>
          <t>Системы хранения данных 3PAR 20000 1.2TB SAS 10K SFF J8S08B HPE</t>
        </is>
      </c>
      <c r="E497" s="2" t="inlineStr">
        <is>
          <t>8</t>
        </is>
      </c>
      <c r="F497" s="2" t="inlineStr">
        <is>
          <t>8</t>
        </is>
      </c>
      <c r="H497" s="2">
        <v>444</v>
      </c>
      <c r="I497" s="2" t="inlineStr">
        <is>
          <t>$</t>
        </is>
      </c>
      <c r="J497" s="2">
        <f>HYPERLINK("https://app.astro.lead-studio.pro/product/eba5f81c-38da-403e-a1b8-4fbccabf5f2b")</f>
      </c>
    </row>
    <row r="498" spans="1:10" customHeight="0">
      <c r="A498" s="2" t="inlineStr">
        <is>
          <t>Серверы</t>
        </is>
      </c>
      <c r="B498" s="2" t="inlineStr">
        <is>
          <t>HP</t>
        </is>
      </c>
      <c r="C498" s="2" t="inlineStr">
        <is>
          <t>E7Y22A</t>
        </is>
      </c>
      <c r="D498" s="2" t="inlineStr">
        <is>
          <t>Системы хранения данных 3PAR 20000 12GB E7Y22A HPE</t>
        </is>
      </c>
      <c r="E498" s="2" t="inlineStr">
        <is>
          <t>4</t>
        </is>
      </c>
      <c r="F498" s="2" t="inlineStr">
        <is>
          <t>4</t>
        </is>
      </c>
      <c r="H498" s="2">
        <v>2045</v>
      </c>
      <c r="I498" s="2" t="inlineStr">
        <is>
          <t>$</t>
        </is>
      </c>
      <c r="J498" s="2">
        <f>HYPERLINK("https://app.astro.lead-studio.pro/product/54f8d097-a526-45b2-a321-23c651e591ea")</f>
      </c>
    </row>
    <row r="499" spans="1:10" customHeight="0">
      <c r="A499" s="2" t="inlineStr">
        <is>
          <t>Серверы</t>
        </is>
      </c>
      <c r="B499" s="2" t="inlineStr">
        <is>
          <t>HP</t>
        </is>
      </c>
      <c r="C499" s="2" t="inlineStr">
        <is>
          <t>K2R25B</t>
        </is>
      </c>
      <c r="D499" s="2" t="inlineStr">
        <is>
          <t>Системы хранения данных 3PAR 20000 3.84TB SAS SFF K2R25B HPE</t>
        </is>
      </c>
      <c r="E499" s="2">
        <v>10</v>
      </c>
      <c r="F499" s="2">
        <v>10</v>
      </c>
      <c r="H499" s="2">
        <v>4085</v>
      </c>
      <c r="I499" s="2" t="inlineStr">
        <is>
          <t>$</t>
        </is>
      </c>
      <c r="J499" s="2">
        <f>HYPERLINK("https://app.astro.lead-studio.pro/product/f8707cb5-5ef9-4c87-b4e8-625e8439d2a0")</f>
      </c>
    </row>
    <row r="500" spans="1:10" customHeight="0">
      <c r="A500" s="2" t="inlineStr">
        <is>
          <t>Серверы</t>
        </is>
      </c>
      <c r="B500" s="2" t="inlineStr">
        <is>
          <t>HP</t>
        </is>
      </c>
      <c r="C500" s="2" t="inlineStr">
        <is>
          <t>Q1H34A</t>
        </is>
      </c>
      <c r="D500" s="2" t="inlineStr">
        <is>
          <t>Системы хранения данных 3PAR 20800 R2 2X8 CORE 2.5GHZ 192GB Q1H34A HPE</t>
        </is>
      </c>
      <c r="E500" s="2" t="inlineStr">
        <is>
          <t>2</t>
        </is>
      </c>
      <c r="F500" s="2" t="inlineStr">
        <is>
          <t>2</t>
        </is>
      </c>
      <c r="H500" s="2">
        <v>51991</v>
      </c>
      <c r="I500" s="2" t="inlineStr">
        <is>
          <t>$</t>
        </is>
      </c>
      <c r="J500" s="2">
        <f>HYPERLINK("https://app.astro.lead-studio.pro/product/962a738c-a708-4649-9daf-2e5cd9cfcc4a")</f>
      </c>
    </row>
    <row r="501" spans="1:10" customHeight="0">
      <c r="A501" s="2" t="inlineStr">
        <is>
          <t>Серверы</t>
        </is>
      </c>
      <c r="B501" s="2" t="inlineStr">
        <is>
          <t>HP</t>
        </is>
      </c>
      <c r="C501" s="2" t="inlineStr">
        <is>
          <t>C8S92A</t>
        </is>
      </c>
      <c r="D501" s="2" t="inlineStr">
        <is>
          <t>Системы хранения данных 3PAR STORESERV 20000 4-PORT 16GB C8S92A HPE</t>
        </is>
      </c>
      <c r="E501" s="2" t="inlineStr">
        <is>
          <t>6</t>
        </is>
      </c>
      <c r="F501" s="2" t="inlineStr">
        <is>
          <t>6</t>
        </is>
      </c>
      <c r="H501" s="2">
        <v>442</v>
      </c>
      <c r="I501" s="2" t="inlineStr">
        <is>
          <t>$</t>
        </is>
      </c>
      <c r="J501" s="2">
        <f>HYPERLINK("https://app.astro.lead-studio.pro/product/3fd74a59-f3f5-4015-b9cf-b89598511162")</f>
      </c>
    </row>
    <row r="502" spans="1:10" customHeight="0">
      <c r="A502" s="2" t="inlineStr">
        <is>
          <t>Сетевые адаптеры и модемы</t>
        </is>
      </c>
      <c r="B502" s="2" t="inlineStr">
        <is>
          <t>GIGABYTE</t>
        </is>
      </c>
      <c r="C502" s="2" t="inlineStr">
        <is>
          <t>MQM8790-HS2F</t>
        </is>
      </c>
      <c r="D502" s="2" t="inlineStr">
        <is>
          <t>Коммутатор 40PORTS QSFP56 MQM8790-HS2F GIGABYTE</t>
        </is>
      </c>
      <c r="E502" s="2" t="inlineStr">
        <is>
          <t>Нет в наличии</t>
        </is>
      </c>
      <c r="F502" s="2" t="inlineStr">
        <is>
          <t>Нет в наличии</t>
        </is>
      </c>
      <c r="H502" s="2">
        <v>13742</v>
      </c>
      <c r="I502" s="2" t="inlineStr">
        <is>
          <t>$</t>
        </is>
      </c>
      <c r="J502" s="2">
        <f>HYPERLINK("https://app.astro.lead-studio.pro/product/21ff3cba-af70-499c-91e4-664567aa9196")</f>
      </c>
    </row>
    <row r="503" spans="1:10" customHeight="0">
      <c r="A503" s="2" t="inlineStr">
        <is>
          <t>Сетевые адаптеры и модемы</t>
        </is>
      </c>
      <c r="B503" s="2" t="inlineStr">
        <is>
          <t>MELLANOX</t>
        </is>
      </c>
      <c r="C503" s="2" t="inlineStr">
        <is>
          <t>MCX512A-ACAT</t>
        </is>
      </c>
      <c r="D503" s="2" t="inlineStr">
        <is>
          <t>Сетевой адаптер CONNECTX-5 DUAL-PORT 10/25GBE MCX512A-ACAT MELLANOX</t>
        </is>
      </c>
      <c r="E503" s="2">
        <v>40</v>
      </c>
      <c r="F503" s="2">
        <v>40</v>
      </c>
      <c r="H503" s="2">
        <v>343</v>
      </c>
      <c r="I503" s="2" t="inlineStr">
        <is>
          <t>$</t>
        </is>
      </c>
      <c r="J503" s="2">
        <f>HYPERLINK("https://app.astro.lead-studio.pro/product/59af289c-e4e7-4721-8c39-71bf1279cae4")</f>
      </c>
    </row>
    <row r="504" spans="1:10" customHeight="0">
      <c r="A504" s="2" t="inlineStr">
        <is>
          <t>Сетевые адаптеры и модемы</t>
        </is>
      </c>
      <c r="B504" s="2" t="inlineStr">
        <is>
          <t>MELLANOX</t>
        </is>
      </c>
      <c r="C504" s="2" t="inlineStr">
        <is>
          <t>MCX683105AN-HDAT</t>
        </is>
      </c>
      <c r="D504" s="2" t="inlineStr">
        <is>
          <t>Сетевой адаптер CONNECTX-6 IB SINGLE QSFP MCX683105AN-HDAT MELLANOX</t>
        </is>
      </c>
      <c r="E504" s="2">
        <v>10</v>
      </c>
      <c r="F504" s="2">
        <v>10</v>
      </c>
      <c r="H504" s="2">
        <v>1092</v>
      </c>
      <c r="I504" s="2" t="inlineStr">
        <is>
          <t>$</t>
        </is>
      </c>
      <c r="J504" s="2">
        <f>HYPERLINK("https://app.astro.lead-studio.pro/product/065cfb67-65ca-4bb6-8356-5f20f19476e3")</f>
      </c>
    </row>
    <row r="505" spans="1:10" customHeight="0">
      <c r="A505" s="2" t="inlineStr">
        <is>
          <t>Сетевые адаптеры и модемы</t>
        </is>
      </c>
      <c r="B505" s="2" t="inlineStr">
        <is>
          <t>LR-LINK</t>
        </is>
      </c>
      <c r="C505" s="2" t="inlineStr">
        <is>
          <t>LRES1014PF-2QSFP28</t>
        </is>
      </c>
      <c r="D505" s="2" t="inlineStr">
        <is>
          <t>Сетевой адаптер PCIE 100GB 16QSFP28 LRES1014PF-2QSFP28 LR-LINK</t>
        </is>
      </c>
      <c r="E505" s="2" t="inlineStr">
        <is>
          <t>10</t>
        </is>
      </c>
      <c r="F505" s="2" t="inlineStr">
        <is>
          <t>10</t>
        </is>
      </c>
      <c r="H505" s="2">
        <v>664</v>
      </c>
      <c r="I505" s="2" t="inlineStr">
        <is>
          <t>$</t>
        </is>
      </c>
      <c r="J505" s="2">
        <f>HYPERLINK("https://app.astro.lead-studio.pro/product/ded4d436-5258-4fa4-944a-efce341549bd")</f>
      </c>
    </row>
    <row r="506" spans="1:10" customHeight="0">
      <c r="A506" s="2" t="inlineStr">
        <is>
          <t>Сетевые адаптеры и модемы</t>
        </is>
      </c>
      <c r="B506" s="2" t="inlineStr">
        <is>
          <t>MELLANOX</t>
        </is>
      </c>
      <c r="C506" s="2" t="inlineStr">
        <is>
          <t>MCX623106AC-CDAT</t>
        </is>
      </c>
      <c r="D506" s="2" t="inlineStr">
        <is>
          <t>Сетевой адаптер PCIE 100GBE MCX623106AC-CDAT MELLANOX</t>
        </is>
      </c>
      <c r="E506" s="2" t="inlineStr">
        <is>
          <t>1</t>
        </is>
      </c>
      <c r="F506" s="2" t="inlineStr">
        <is>
          <t>1</t>
        </is>
      </c>
      <c r="H506" s="2">
        <v>993</v>
      </c>
      <c r="I506" s="2" t="inlineStr">
        <is>
          <t>$</t>
        </is>
      </c>
      <c r="J506" s="2">
        <f>HYPERLINK("https://app.astro.lead-studio.pro/product/ac33bfb4-974f-4507-8e1b-72ce0bb91df3")</f>
      </c>
    </row>
    <row r="507" spans="1:10" customHeight="0">
      <c r="A507" s="2" t="inlineStr">
        <is>
          <t>Сетевые адаптеры и модемы</t>
        </is>
      </c>
      <c r="B507" s="2" t="inlineStr">
        <is>
          <t>LR-LINK</t>
        </is>
      </c>
      <c r="C507" s="2" t="inlineStr">
        <is>
          <t>LRES1024PF-4SFP+</t>
        </is>
      </c>
      <c r="D507" s="2" t="inlineStr">
        <is>
          <t>Сетевой адаптер PCIE 10GB SFP+ LRES1024PF-4SFP+ LR-LINK</t>
        </is>
      </c>
      <c r="E507" s="2">
        <v>40</v>
      </c>
      <c r="F507" s="2">
        <v>40</v>
      </c>
      <c r="H507" s="2">
        <v>344</v>
      </c>
      <c r="I507" s="2" t="inlineStr">
        <is>
          <t>$</t>
        </is>
      </c>
      <c r="J507" s="2">
        <f>HYPERLINK("https://app.astro.lead-studio.pro/product/ab9bb9e0-4bc4-4f7e-a8e8-6a22e0f9cb5d")</f>
      </c>
    </row>
    <row r="508" spans="1:10" customHeight="0">
      <c r="A508" s="2" t="inlineStr">
        <is>
          <t>Сетевые адаптеры и модемы</t>
        </is>
      </c>
      <c r="B508" s="2" t="inlineStr">
        <is>
          <t>SYNOLOGY</t>
        </is>
      </c>
      <c r="C508" s="2" t="inlineStr">
        <is>
          <t>E25G30-F2</t>
        </is>
      </c>
      <c r="D508" s="2" t="inlineStr">
        <is>
          <t>Сетевой адаптер PCIE 25GBE SFP28 E25G30-F2 SYNOLOGY</t>
        </is>
      </c>
      <c r="E508" s="2" t="inlineStr">
        <is>
          <t>3</t>
        </is>
      </c>
      <c r="F508" s="2" t="inlineStr">
        <is>
          <t>3</t>
        </is>
      </c>
      <c r="H508" s="2">
        <v>581</v>
      </c>
      <c r="I508" s="2" t="inlineStr">
        <is>
          <t>$</t>
        </is>
      </c>
      <c r="J508" s="2">
        <f>HYPERLINK("https://app.astro.lead-studio.pro/product/90fdc585-8321-4096-953e-1f10cb1d17d2")</f>
      </c>
    </row>
    <row r="509" spans="1:10" customHeight="0">
      <c r="A509" s="2" t="inlineStr">
        <is>
          <t>Сетевые адаптеры и модемы</t>
        </is>
      </c>
      <c r="B509" s="2" t="inlineStr">
        <is>
          <t>SYNOLOGY</t>
        </is>
      </c>
      <c r="C509" s="2" t="inlineStr">
        <is>
          <t>E10M20-T1</t>
        </is>
      </c>
      <c r="D509" s="2" t="inlineStr">
        <is>
          <t>Сетевой адаптер PCIE M.2 10GB E10M20-T1 SYNOLOGY</t>
        </is>
      </c>
      <c r="E509" s="2">
        <v>10</v>
      </c>
      <c r="F509" s="2">
        <v>10</v>
      </c>
      <c r="H509" s="2">
        <v>394</v>
      </c>
      <c r="I509" s="2" t="inlineStr">
        <is>
          <t>$</t>
        </is>
      </c>
      <c r="J509" s="2">
        <f>HYPERLINK("https://app.astro.lead-studio.pro/product/94210e2b-46bf-40ce-bda9-9d4009c51f15")</f>
      </c>
    </row>
    <row r="510" spans="1:10" customHeight="0">
      <c r="A510" s="2" t="inlineStr">
        <is>
          <t>Сетевые адаптеры и модемы</t>
        </is>
      </c>
      <c r="B510" s="2" t="inlineStr">
        <is>
          <t>LR-LINK</t>
        </is>
      </c>
      <c r="C510" s="2" t="inlineStr">
        <is>
          <t>LRES3027PF-OCP</t>
        </is>
      </c>
      <c r="D510" s="2" t="inlineStr">
        <is>
          <t>Сетевой адаптер PCIE3.0X8 25GB 4PORT LRES3027PF-OCP LR-LINK</t>
        </is>
      </c>
      <c r="E510" s="2">
        <v>10</v>
      </c>
      <c r="F510" s="2">
        <v>10</v>
      </c>
      <c r="H510" s="2">
        <v>465</v>
      </c>
      <c r="I510" s="2" t="inlineStr">
        <is>
          <t>$</t>
        </is>
      </c>
      <c r="J510" s="2">
        <f>HYPERLINK("https://app.astro.lead-studio.pro/product/6bc245df-f022-4fe2-aefd-917732655269")</f>
      </c>
    </row>
    <row r="511" spans="1:10" customHeight="0">
      <c r="A511" s="2" t="inlineStr">
        <is>
          <t>Сетевые контроллеры</t>
        </is>
      </c>
      <c r="B511" s="2" t="inlineStr">
        <is>
          <t>LANNER</t>
        </is>
      </c>
      <c r="C511" s="2" t="inlineStr">
        <is>
          <t>NCS2-ISM802A</t>
        </is>
      </c>
      <c r="D511" s="2" t="inlineStr">
        <is>
          <t>Модуль 1GBE SFP 8P NCS2-ISM802A LANNER</t>
        </is>
      </c>
      <c r="E511" s="2" t="inlineStr">
        <is>
          <t>3</t>
        </is>
      </c>
      <c r="F511" s="2" t="inlineStr">
        <is>
          <t>3</t>
        </is>
      </c>
      <c r="H511" s="2">
        <v>740</v>
      </c>
      <c r="I511" s="2" t="inlineStr">
        <is>
          <t>$</t>
        </is>
      </c>
      <c r="J511" s="2">
        <f>HYPERLINK("https://app.astro.lead-studio.pro/product/f5874e25-0736-437e-8ac8-e330caeec2a8")</f>
      </c>
    </row>
    <row r="512" spans="1:10" customHeight="0">
      <c r="A512" s="2" t="inlineStr">
        <is>
          <t>Сетевые контроллеры</t>
        </is>
      </c>
      <c r="B512" s="2" t="inlineStr">
        <is>
          <t>QLOGIC</t>
        </is>
      </c>
      <c r="C512" s="2" t="inlineStr">
        <is>
          <t>QLE2672-CK</t>
        </is>
      </c>
      <c r="D512" s="2" t="inlineStr">
        <is>
          <t>Сетевая карта HBA 2XFC QLE2672-CK QLOGIC</t>
        </is>
      </c>
      <c r="E512" s="2" t="inlineStr">
        <is>
          <t>5</t>
        </is>
      </c>
      <c r="F512" s="2" t="inlineStr">
        <is>
          <t>5</t>
        </is>
      </c>
      <c r="H512" s="2">
        <v>384</v>
      </c>
      <c r="I512" s="2" t="inlineStr">
        <is>
          <t>$</t>
        </is>
      </c>
      <c r="J512" s="2">
        <f>HYPERLINK("https://app.astro.lead-studio.pro/product/e0586147-017a-4832-a3bb-6d58d3fccd69")</f>
      </c>
    </row>
    <row r="513" spans="1:10" customHeight="0">
      <c r="A513" s="2" t="inlineStr">
        <is>
          <t>Сетевые контроллеры</t>
        </is>
      </c>
      <c r="B513" s="2" t="inlineStr">
        <is>
          <t>QLOGIC</t>
        </is>
      </c>
      <c r="C513" s="2" t="inlineStr">
        <is>
          <t>QLE2772-SR</t>
        </is>
      </c>
      <c r="D513" s="2" t="inlineStr">
        <is>
          <t>Сетевая карта HBA 2XFC QLE2772 QLOGIC</t>
        </is>
      </c>
      <c r="E513" s="2" t="inlineStr">
        <is>
          <t>5</t>
        </is>
      </c>
      <c r="F513" s="2" t="inlineStr">
        <is>
          <t>5</t>
        </is>
      </c>
      <c r="H513" s="2">
        <v>1487</v>
      </c>
      <c r="I513" s="2" t="inlineStr">
        <is>
          <t>$</t>
        </is>
      </c>
      <c r="J513" s="2">
        <f>HYPERLINK("https://app.astro.lead-studio.pro/product/4a13e731-30a3-4c15-afd0-5945ec062d28")</f>
      </c>
    </row>
    <row r="514" spans="1:10" customHeight="0">
      <c r="A514" s="2" t="inlineStr">
        <is>
          <t>KVM переключатели</t>
        </is>
      </c>
      <c r="B514" s="2" t="inlineStr">
        <is>
          <t>ATEN</t>
        </is>
      </c>
      <c r="C514" s="2" t="inlineStr">
        <is>
          <t>CS1924M-AT-G</t>
        </is>
      </c>
      <c r="D514" s="2" t="inlineStr">
        <is>
          <t>Коммутатор 2P USB3 4K 2P CS1924M-AT-G ATEN</t>
        </is>
      </c>
      <c r="E514" s="2" t="inlineStr">
        <is>
          <t>1</t>
        </is>
      </c>
      <c r="F514" s="2" t="inlineStr">
        <is>
          <t>1</t>
        </is>
      </c>
      <c r="H514" s="2">
        <v>950</v>
      </c>
      <c r="I514" s="2" t="inlineStr">
        <is>
          <t>$</t>
        </is>
      </c>
      <c r="J514" s="2">
        <f>HYPERLINK("https://app.astro.lead-studio.pro/product/f6dbd2cd-7a71-4124-bb86-44a30f45a2ad")</f>
      </c>
    </row>
    <row r="515" spans="1:10" customHeight="0">
      <c r="A515" s="2" t="inlineStr">
        <is>
          <t>Беспроводные маршрутизаторы</t>
        </is>
      </c>
      <c r="B515" s="2" t="inlineStr">
        <is>
          <t>TP-LINK</t>
        </is>
      </c>
      <c r="C515" s="2" t="inlineStr">
        <is>
          <t>ER7212PC</t>
        </is>
      </c>
      <c r="D515" s="2" t="inlineStr">
        <is>
          <t>Wi-Fi маршрутизатор 1000M VPN ER7212PC TP-LINK</t>
        </is>
      </c>
      <c r="E515" s="2">
        <v>10</v>
      </c>
      <c r="F515" s="2">
        <v>10</v>
      </c>
      <c r="H515" s="2">
        <v>358</v>
      </c>
      <c r="I515" s="2" t="inlineStr">
        <is>
          <t>$</t>
        </is>
      </c>
      <c r="J515" s="2">
        <f>HYPERLINK("https://app.astro.lead-studio.pro/product/41287b5c-d654-4013-8eef-1b09a679bf32")</f>
      </c>
    </row>
    <row r="516" spans="1:10" customHeight="0">
      <c r="A516" s="2" t="inlineStr">
        <is>
          <t>Беспроводные маршрутизаторы</t>
        </is>
      </c>
      <c r="B516" s="2" t="inlineStr">
        <is>
          <t>HUAWEI</t>
        </is>
      </c>
      <c r="C516" s="2" t="inlineStr">
        <is>
          <t>02352RDR-88035TEU-S1Y</t>
        </is>
      </c>
      <c r="D516" s="2" t="inlineStr">
        <is>
          <t>Контроллер WiFi 16GE 12SFP+ AE9700-M LIC-F SNS1Y HUAWEI</t>
        </is>
      </c>
      <c r="E516" s="2" t="inlineStr">
        <is>
          <t>2</t>
        </is>
      </c>
      <c r="F516" s="2" t="inlineStr">
        <is>
          <t>2</t>
        </is>
      </c>
      <c r="H516" s="2">
        <v>13080</v>
      </c>
      <c r="I516" s="2" t="inlineStr">
        <is>
          <t>$</t>
        </is>
      </c>
      <c r="J516" s="2">
        <f>HYPERLINK("https://app.astro.lead-studio.pro/product/c0d04881-0f62-4d43-a5c6-7022773b3b1c")</f>
      </c>
    </row>
    <row r="517" spans="1:10" customHeight="0">
      <c r="A517" s="2" t="inlineStr">
        <is>
          <t>Беспроводные точки доступа</t>
        </is>
      </c>
      <c r="B517" s="2" t="inlineStr">
        <is>
          <t>TP-LINK</t>
        </is>
      </c>
      <c r="C517" s="2" t="inlineStr">
        <is>
          <t>EAP660 HD</t>
        </is>
      </c>
      <c r="D517" s="2" t="inlineStr">
        <is>
          <t>Wi-Fi точка доступа 3600MBPS EAP660 HD TP-LINK</t>
        </is>
      </c>
      <c r="E517" s="2">
        <v>10</v>
      </c>
      <c r="F517" s="2">
        <v>10</v>
      </c>
      <c r="H517" s="2">
        <v>378</v>
      </c>
      <c r="I517" s="2" t="inlineStr">
        <is>
          <t>$</t>
        </is>
      </c>
      <c r="J517" s="2">
        <f>HYPERLINK("https://app.astro.lead-studio.pro/product/2dde0a8b-d45c-413d-9a6e-3268914eee97")</f>
      </c>
    </row>
    <row r="518" spans="1:10" customHeight="0">
      <c r="A518" s="2" t="inlineStr">
        <is>
          <t>Коммутаторы</t>
        </is>
      </c>
      <c r="B518" s="2" t="inlineStr">
        <is>
          <t>MIKROTIK</t>
        </is>
      </c>
      <c r="C518" s="2" t="inlineStr">
        <is>
          <t>CRS328-4C-20S-4S+RM</t>
        </is>
      </c>
      <c r="D518" s="2" t="inlineStr">
        <is>
          <t>Коммутатор 20PORT SFP 4SFP+ CRS328-4C-20S-4S+RM MIKROTIK</t>
        </is>
      </c>
      <c r="E518" s="2">
        <v>40</v>
      </c>
      <c r="F518" s="2">
        <v>40</v>
      </c>
      <c r="H518" s="2">
        <v>603</v>
      </c>
      <c r="I518" s="2" t="inlineStr">
        <is>
          <t>$</t>
        </is>
      </c>
      <c r="J518" s="2">
        <f>HYPERLINK("https://app.astro.lead-studio.pro/product/904c7624-5ef9-45fd-be2b-8b2e5ef0a208")</f>
      </c>
    </row>
    <row r="519" spans="1:10" customHeight="0">
      <c r="A519" s="2" t="inlineStr">
        <is>
          <t>Коммутаторы</t>
        </is>
      </c>
      <c r="B519" s="2" t="inlineStr">
        <is>
          <t>HUAWEI</t>
        </is>
      </c>
      <c r="C519" s="2" t="inlineStr">
        <is>
          <t>98011318-SET1</t>
        </is>
      </c>
      <c r="D519" s="2" t="inlineStr">
        <is>
          <t>Коммутатор 24 PORT 4*10GE SFP+ S5735-L24P4X-A1 HUAWEI</t>
        </is>
      </c>
      <c r="E519" s="2">
        <v>10</v>
      </c>
      <c r="F519" s="2">
        <v>10</v>
      </c>
      <c r="H519" s="2">
        <v>2128</v>
      </c>
      <c r="I519" s="2" t="inlineStr">
        <is>
          <t>$</t>
        </is>
      </c>
      <c r="J519" s="2">
        <f>HYPERLINK("https://app.astro.lead-studio.pro/product/9fb99140-06be-498c-be0d-305bbd8f2d80")</f>
      </c>
    </row>
    <row r="520" spans="1:10" customHeight="0">
      <c r="A520" s="2" t="inlineStr">
        <is>
          <t>Коммутаторы</t>
        </is>
      </c>
      <c r="B520" s="2" t="inlineStr">
        <is>
          <t>HUAWEI</t>
        </is>
      </c>
      <c r="C520" s="2" t="inlineStr">
        <is>
          <t>02353ANX-SET1</t>
        </is>
      </c>
      <c r="D520" s="2" t="inlineStr">
        <is>
          <t>Коммутатор 24GE 4SFP+ S5731-S24P4X HUAWEI</t>
        </is>
      </c>
      <c r="E520" s="2" t="inlineStr">
        <is>
          <t>4</t>
        </is>
      </c>
      <c r="F520" s="2" t="inlineStr">
        <is>
          <t>4</t>
        </is>
      </c>
      <c r="H520" s="2">
        <v>5006</v>
      </c>
      <c r="I520" s="2" t="inlineStr">
        <is>
          <t>$</t>
        </is>
      </c>
      <c r="J520" s="2">
        <f>HYPERLINK("https://app.astro.lead-studio.pro/product/a1983f0c-ec73-4e16-91ea-f570959ee203")</f>
      </c>
    </row>
    <row r="521" spans="1:10" customHeight="0">
      <c r="A521" s="2" t="inlineStr">
        <is>
          <t>Коммутаторы</t>
        </is>
      </c>
      <c r="B521" s="2" t="inlineStr">
        <is>
          <t>HUAWEI</t>
        </is>
      </c>
      <c r="C521" s="2" t="inlineStr">
        <is>
          <t>02353AHX-88035WTE</t>
        </is>
      </c>
      <c r="D521" s="2" t="inlineStr">
        <is>
          <t>Коммутатор 24GE 4SFP+ S5731-S24P4X N1-M-LIC HUAWEI</t>
        </is>
      </c>
      <c r="E521" s="2" t="inlineStr">
        <is>
          <t>1</t>
        </is>
      </c>
      <c r="F521" s="2" t="inlineStr">
        <is>
          <t>1</t>
        </is>
      </c>
      <c r="H521" s="2">
        <v>2016</v>
      </c>
      <c r="I521" s="2" t="inlineStr">
        <is>
          <t>$</t>
        </is>
      </c>
      <c r="J521" s="2">
        <f>HYPERLINK("https://app.astro.lead-studio.pro/product/2c50022f-c580-463a-8261-13a867175492")</f>
      </c>
    </row>
    <row r="522" spans="1:10" customHeight="0">
      <c r="A522" s="2" t="inlineStr">
        <is>
          <t>Коммутаторы</t>
        </is>
      </c>
      <c r="B522" s="2" t="inlineStr">
        <is>
          <t>HUAWEI</t>
        </is>
      </c>
      <c r="C522" s="2" t="inlineStr">
        <is>
          <t>98011020-88037BNL</t>
        </is>
      </c>
      <c r="D522" s="2" t="inlineStr">
        <is>
          <t>Коммутатор 24GE 4SFP+L-MLIC S5736-S24UM4XC HUAWEI</t>
        </is>
      </c>
      <c r="E522" s="2" t="inlineStr">
        <is>
          <t>9</t>
        </is>
      </c>
      <c r="F522" s="2" t="inlineStr">
        <is>
          <t>9</t>
        </is>
      </c>
      <c r="H522" s="2">
        <v>4621</v>
      </c>
      <c r="I522" s="2" t="inlineStr">
        <is>
          <t>$</t>
        </is>
      </c>
      <c r="J522" s="2">
        <f>HYPERLINK("https://app.astro.lead-studio.pro/product/7ba179c4-672e-4e1b-af59-2cbbd19abb6c")</f>
      </c>
    </row>
    <row r="523" spans="1:10" customHeight="0">
      <c r="A523" s="2" t="inlineStr">
        <is>
          <t>Коммутаторы</t>
        </is>
      </c>
      <c r="B523" s="2" t="inlineStr">
        <is>
          <t>TP-LINK</t>
        </is>
      </c>
      <c r="C523" s="2" t="inlineStr">
        <is>
          <t>TL-SG3428X</t>
        </is>
      </c>
      <c r="D523" s="2" t="inlineStr">
        <is>
          <t>Коммутатор 24PORT 1000M 4SFP+ TL-SG3428X TP-LINK</t>
        </is>
      </c>
      <c r="E523" s="2" t="inlineStr">
        <is>
          <t>10</t>
        </is>
      </c>
      <c r="F523" s="2" t="inlineStr">
        <is>
          <t>10</t>
        </is>
      </c>
      <c r="H523" s="2">
        <v>428</v>
      </c>
      <c r="I523" s="2" t="inlineStr">
        <is>
          <t>$</t>
        </is>
      </c>
      <c r="J523" s="2">
        <f>HYPERLINK("https://app.astro.lead-studio.pro/product/b7ae1d31-af9b-4420-8280-4749f00c7bce")</f>
      </c>
    </row>
    <row r="524" spans="1:10" customHeight="0">
      <c r="A524" s="2" t="inlineStr">
        <is>
          <t>Коммутаторы</t>
        </is>
      </c>
      <c r="B524" s="2" t="inlineStr">
        <is>
          <t>TP-LINK</t>
        </is>
      </c>
      <c r="C524" s="2" t="inlineStr">
        <is>
          <t>TL-SG3428XF</t>
        </is>
      </c>
      <c r="D524" s="2" t="inlineStr">
        <is>
          <t>Коммутатор 24PORT 1000M 4SFP+ TL-SG3428XF TP-LINK</t>
        </is>
      </c>
      <c r="E524" s="2" t="inlineStr">
        <is>
          <t>3</t>
        </is>
      </c>
      <c r="F524" s="2" t="inlineStr">
        <is>
          <t>3</t>
        </is>
      </c>
      <c r="H524" s="2">
        <v>620</v>
      </c>
      <c r="I524" s="2" t="inlineStr">
        <is>
          <t>$</t>
        </is>
      </c>
      <c r="J524" s="2">
        <f>HYPERLINK("https://app.astro.lead-studio.pro/product/2c4159a0-3d4e-4041-8d07-76fffcdcfadf")</f>
      </c>
    </row>
    <row r="525" spans="1:10" customHeight="0">
      <c r="A525" s="2" t="inlineStr">
        <is>
          <t>Коммутаторы</t>
        </is>
      </c>
      <c r="B525" s="2" t="inlineStr">
        <is>
          <t>TP-LINK</t>
        </is>
      </c>
      <c r="C525" s="2" t="inlineStr">
        <is>
          <t>TL-SG3428XMP</t>
        </is>
      </c>
      <c r="D525" s="2" t="inlineStr">
        <is>
          <t>Коммутатор 24PORT 1000M 4SFP+ TL-SG3428XMP TP-LINK</t>
        </is>
      </c>
      <c r="E525" s="2" t="inlineStr">
        <is>
          <t>5</t>
        </is>
      </c>
      <c r="F525" s="2" t="inlineStr">
        <is>
          <t>5</t>
        </is>
      </c>
      <c r="H525" s="2">
        <v>662</v>
      </c>
      <c r="I525" s="2" t="inlineStr">
        <is>
          <t>$</t>
        </is>
      </c>
      <c r="J525" s="2">
        <f>HYPERLINK("https://app.astro.lead-studio.pro/product/16c52cb7-19da-4bf5-b61d-62cd888593af")</f>
      </c>
    </row>
    <row r="526" spans="1:10" customHeight="0">
      <c r="A526" s="2" t="inlineStr">
        <is>
          <t>Коммутаторы</t>
        </is>
      </c>
      <c r="B526" s="2" t="inlineStr">
        <is>
          <t>HUAWEI</t>
        </is>
      </c>
      <c r="C526" s="2" t="inlineStr">
        <is>
          <t>02352FSG-SET1</t>
        </is>
      </c>
      <c r="D526" s="2" t="inlineStr">
        <is>
          <t>Коммутатор 24SFP+ 6QSFP+ S6730-H24X6C HUAWEI</t>
        </is>
      </c>
      <c r="E526" s="2" t="inlineStr">
        <is>
          <t>3</t>
        </is>
      </c>
      <c r="F526" s="2" t="inlineStr">
        <is>
          <t>3</t>
        </is>
      </c>
      <c r="H526" s="2">
        <v>7379</v>
      </c>
      <c r="I526" s="2" t="inlineStr">
        <is>
          <t>$</t>
        </is>
      </c>
      <c r="J526" s="2">
        <f>HYPERLINK("https://app.astro.lead-studio.pro/product/2c26829d-434d-4b6c-a48c-5e88e30dc742")</f>
      </c>
    </row>
    <row r="527" spans="1:10" customHeight="0">
      <c r="A527" s="2" t="inlineStr">
        <is>
          <t>Коммутаторы</t>
        </is>
      </c>
      <c r="B527" s="2" t="inlineStr">
        <is>
          <t>TP-LINK</t>
        </is>
      </c>
      <c r="C527" s="2" t="inlineStr">
        <is>
          <t>SX6632YF</t>
        </is>
      </c>
      <c r="D527" s="2" t="inlineStr">
        <is>
          <t>Коммутатор 26PORT SFP+ 6SFP28 SX6632YF TP-LINK</t>
        </is>
      </c>
      <c r="E527" s="2" t="inlineStr">
        <is>
          <t>1</t>
        </is>
      </c>
      <c r="F527" s="2" t="inlineStr">
        <is>
          <t>1</t>
        </is>
      </c>
      <c r="H527" s="2">
        <v>3458</v>
      </c>
      <c r="I527" s="2" t="inlineStr">
        <is>
          <t>$</t>
        </is>
      </c>
      <c r="J527" s="2">
        <f>HYPERLINK("https://app.astro.lead-studio.pro/product/1faa4186-a932-4686-ad38-d35c3259b6a4")</f>
      </c>
    </row>
    <row r="528" spans="1:10" customHeight="0">
      <c r="A528" s="2" t="inlineStr">
        <is>
          <t>Коммутаторы</t>
        </is>
      </c>
      <c r="B528" s="2" t="inlineStr">
        <is>
          <t>HUAWEI</t>
        </is>
      </c>
      <c r="C528" s="2" t="inlineStr">
        <is>
          <t>02359562</t>
        </is>
      </c>
      <c r="D528" s="2" t="inlineStr">
        <is>
          <t>Коммутатор 28GE/4DP 4SFP+ 1SL S5720-36C-EI-AC HUAWEI</t>
        </is>
      </c>
      <c r="E528" s="2" t="inlineStr">
        <is>
          <t>1</t>
        </is>
      </c>
      <c r="F528" s="2" t="inlineStr">
        <is>
          <t>1</t>
        </is>
      </c>
      <c r="H528" s="2">
        <v>3847</v>
      </c>
      <c r="I528" s="2" t="inlineStr">
        <is>
          <t>$</t>
        </is>
      </c>
      <c r="J528" s="2">
        <f>HYPERLINK("https://app.astro.lead-studio.pro/product/d2c9b294-4f09-434c-a539-498bcd6d8710")</f>
      </c>
    </row>
    <row r="529" spans="1:10" customHeight="0">
      <c r="A529" s="2" t="inlineStr">
        <is>
          <t>Коммутаторы</t>
        </is>
      </c>
      <c r="B529" s="2" t="inlineStr">
        <is>
          <t>HUAWEI</t>
        </is>
      </c>
      <c r="C529" s="2" t="inlineStr">
        <is>
          <t>02359504</t>
        </is>
      </c>
      <c r="D529" s="2" t="inlineStr">
        <is>
          <t>Коммутатор 48GE 4SFP+ 1SL S5720-56C-EI-AC HUAWEI</t>
        </is>
      </c>
      <c r="E529" s="2" t="inlineStr">
        <is>
          <t>7</t>
        </is>
      </c>
      <c r="F529" s="2" t="inlineStr">
        <is>
          <t>7</t>
        </is>
      </c>
      <c r="H529" s="2">
        <v>5123</v>
      </c>
      <c r="I529" s="2" t="inlineStr">
        <is>
          <t>$</t>
        </is>
      </c>
      <c r="J529" s="2">
        <f>HYPERLINK("https://app.astro.lead-studio.pro/product/c03634bf-9c46-4714-bfe5-60140000350d")</f>
      </c>
    </row>
    <row r="530" spans="1:10" customHeight="0">
      <c r="A530" s="2" t="inlineStr">
        <is>
          <t>Коммутаторы</t>
        </is>
      </c>
      <c r="B530" s="2" t="inlineStr">
        <is>
          <t>HUAWEI</t>
        </is>
      </c>
      <c r="C530" s="2" t="inlineStr">
        <is>
          <t>02353AJH-003_SET1</t>
        </is>
      </c>
      <c r="D530" s="2" t="inlineStr">
        <is>
          <t>Коммутатор 48GE 4SFP+ S5731-S48P4X HUAWEI</t>
        </is>
      </c>
      <c r="E530" s="2" t="inlineStr">
        <is>
          <t>5</t>
        </is>
      </c>
      <c r="F530" s="2" t="inlineStr">
        <is>
          <t>5</t>
        </is>
      </c>
      <c r="H530" s="2">
        <v>7112</v>
      </c>
      <c r="I530" s="2" t="inlineStr">
        <is>
          <t>$</t>
        </is>
      </c>
      <c r="J530" s="2">
        <f>HYPERLINK("https://app.astro.lead-studio.pro/product/ff43c6bb-e217-4b94-b7c8-0a45ab7e8a89")</f>
      </c>
    </row>
    <row r="531" spans="1:10" customHeight="0">
      <c r="A531" s="2" t="inlineStr">
        <is>
          <t>Коммутаторы</t>
        </is>
      </c>
      <c r="B531" s="2" t="inlineStr">
        <is>
          <t>HUAWEI</t>
        </is>
      </c>
      <c r="C531" s="2" t="inlineStr">
        <is>
          <t>98011343-SET1</t>
        </is>
      </c>
      <c r="D531" s="2" t="inlineStr">
        <is>
          <t>Коммутатор 48GE 4SFP+ S5735-L48P4X-A1 HUAWEI</t>
        </is>
      </c>
      <c r="E531" s="2" t="inlineStr">
        <is>
          <t>1</t>
        </is>
      </c>
      <c r="F531" s="2" t="inlineStr">
        <is>
          <t>1</t>
        </is>
      </c>
      <c r="H531" s="2">
        <v>2445</v>
      </c>
      <c r="I531" s="2" t="inlineStr">
        <is>
          <t>$</t>
        </is>
      </c>
      <c r="J531" s="2">
        <f>HYPERLINK("https://app.astro.lead-studio.pro/product/05e601eb-b7a3-4629-84ed-cc9c527c8b67")</f>
      </c>
    </row>
    <row r="532" spans="1:10" customHeight="0">
      <c r="A532" s="2" t="inlineStr">
        <is>
          <t>Коммутаторы</t>
        </is>
      </c>
      <c r="B532" s="2" t="inlineStr">
        <is>
          <t>HUAWEI</t>
        </is>
      </c>
      <c r="C532" s="2" t="inlineStr">
        <is>
          <t>98011606-88037BNL</t>
        </is>
      </c>
      <c r="D532" s="2" t="inlineStr">
        <is>
          <t>Коммутатор 48GE 4SFP+L-MLIC S5736-S48S4X-A HUAWEI</t>
        </is>
      </c>
      <c r="E532" s="2" t="inlineStr">
        <is>
          <t>8</t>
        </is>
      </c>
      <c r="F532" s="2" t="inlineStr">
        <is>
          <t>8</t>
        </is>
      </c>
      <c r="H532" s="2">
        <v>3259</v>
      </c>
      <c r="I532" s="2" t="inlineStr">
        <is>
          <t>$</t>
        </is>
      </c>
      <c r="J532" s="2">
        <f>HYPERLINK("https://app.astro.lead-studio.pro/product/e3446bf3-98e8-40a5-8f60-b7b48df47da0")</f>
      </c>
    </row>
    <row r="533" spans="1:10" customHeight="0">
      <c r="A533" s="2" t="inlineStr">
        <is>
          <t>Коммутаторы</t>
        </is>
      </c>
      <c r="B533" s="2" t="inlineStr">
        <is>
          <t>TP-LINK</t>
        </is>
      </c>
      <c r="C533" s="2" t="inlineStr">
        <is>
          <t>TL-SG3452</t>
        </is>
      </c>
      <c r="D533" s="2" t="inlineStr">
        <is>
          <t>Коммутатор 48PORT 100/1000M 4SFP+ TL-SG3452 TP-LINK</t>
        </is>
      </c>
      <c r="E533" s="2" t="inlineStr">
        <is>
          <t>2</t>
        </is>
      </c>
      <c r="F533" s="2" t="inlineStr">
        <is>
          <t>2</t>
        </is>
      </c>
      <c r="H533" s="2">
        <v>604</v>
      </c>
      <c r="I533" s="2" t="inlineStr">
        <is>
          <t>$</t>
        </is>
      </c>
      <c r="J533" s="2">
        <f>HYPERLINK("https://app.astro.lead-studio.pro/product/04f195b5-16d8-4a03-a385-cada6df39391")</f>
      </c>
    </row>
    <row r="534" spans="1:10" customHeight="0">
      <c r="A534" s="2" t="inlineStr">
        <is>
          <t>Коммутаторы</t>
        </is>
      </c>
      <c r="B534" s="2" t="inlineStr">
        <is>
          <t>TP-LINK</t>
        </is>
      </c>
      <c r="C534" s="2" t="inlineStr">
        <is>
          <t>TL-SG3452X</t>
        </is>
      </c>
      <c r="D534" s="2" t="inlineStr">
        <is>
          <t>Коммутатор 48PORT 100/1000M TL-SG3452X TP-LINK</t>
        </is>
      </c>
      <c r="E534" s="2">
        <v>10</v>
      </c>
      <c r="F534" s="2">
        <v>10</v>
      </c>
      <c r="H534" s="2">
        <v>711</v>
      </c>
      <c r="I534" s="2" t="inlineStr">
        <is>
          <t>$</t>
        </is>
      </c>
      <c r="J534" s="2">
        <f>HYPERLINK("https://app.astro.lead-studio.pro/product/2260388c-bcf5-44db-a689-5fa903bca8e8")</f>
      </c>
    </row>
    <row r="535" spans="1:10" customHeight="0">
      <c r="A535" s="2" t="inlineStr">
        <is>
          <t>Коммутаторы</t>
        </is>
      </c>
      <c r="B535" s="2" t="inlineStr">
        <is>
          <t>TP-LINK</t>
        </is>
      </c>
      <c r="C535" s="2" t="inlineStr">
        <is>
          <t>SG6654X</t>
        </is>
      </c>
      <c r="D535" s="2" t="inlineStr">
        <is>
          <t>Коммутатор 48PORT 1000M 6SFP+ SG6654X TP-LINK</t>
        </is>
      </c>
      <c r="E535" s="2" t="inlineStr">
        <is>
          <t>1</t>
        </is>
      </c>
      <c r="F535" s="2" t="inlineStr">
        <is>
          <t>1</t>
        </is>
      </c>
      <c r="H535" s="2">
        <v>1407</v>
      </c>
      <c r="I535" s="2" t="inlineStr">
        <is>
          <t>$</t>
        </is>
      </c>
      <c r="J535" s="2">
        <f>HYPERLINK("https://app.astro.lead-studio.pro/product/55066937-4e07-45f2-b6ad-0a0926d67311")</f>
      </c>
    </row>
    <row r="536" spans="1:10" customHeight="0">
      <c r="A536" s="2" t="inlineStr">
        <is>
          <t>Коммутаторы</t>
        </is>
      </c>
      <c r="B536" s="2" t="inlineStr">
        <is>
          <t>HUAWEI</t>
        </is>
      </c>
      <c r="C536" s="2" t="inlineStr">
        <is>
          <t>98011284-88037BNM</t>
        </is>
      </c>
      <c r="D536" s="2" t="inlineStr">
        <is>
          <t>Коммутатор 8GE 4SFP+L-MLIC S5735-L8T4S-A1 HUAWEI</t>
        </is>
      </c>
      <c r="E536" s="2" t="inlineStr">
        <is>
          <t>2</t>
        </is>
      </c>
      <c r="F536" s="2" t="inlineStr">
        <is>
          <t>2</t>
        </is>
      </c>
      <c r="H536" s="2">
        <v>501</v>
      </c>
      <c r="I536" s="2" t="inlineStr">
        <is>
          <t>$</t>
        </is>
      </c>
      <c r="J536" s="2">
        <f>HYPERLINK("https://app.astro.lead-studio.pro/product/7b45dee9-e9a7-4a11-9e1f-e389e5f448a9")</f>
      </c>
    </row>
    <row r="537" spans="1:10" customHeight="0">
      <c r="A537" s="2" t="inlineStr">
        <is>
          <t>Коммутаторы</t>
        </is>
      </c>
      <c r="B537" s="2" t="inlineStr">
        <is>
          <t>TENDA</t>
        </is>
      </c>
      <c r="C537" s="2" t="inlineStr">
        <is>
          <t>G5324-16F</t>
        </is>
      </c>
      <c r="D537" s="2" t="inlineStr">
        <is>
          <t>Коммутатор 8PORT 16SFP G5324-16F IP-COM</t>
        </is>
      </c>
      <c r="E537" s="2" t="inlineStr">
        <is>
          <t>1</t>
        </is>
      </c>
      <c r="F537" s="2" t="inlineStr">
        <is>
          <t>1</t>
        </is>
      </c>
      <c r="H537" s="2">
        <v>345</v>
      </c>
      <c r="I537" s="2" t="inlineStr">
        <is>
          <t>$</t>
        </is>
      </c>
      <c r="J537" s="2">
        <f>HYPERLINK("https://app.astro.lead-studio.pro/product/58393961-8e27-4134-9ca1-c9939ad5cb23")</f>
      </c>
    </row>
    <row r="538" spans="1:10" customHeight="0">
      <c r="A538" s="2" t="inlineStr">
        <is>
          <t>Коммутаторы</t>
        </is>
      </c>
      <c r="B538" s="2" t="inlineStr">
        <is>
          <t>MIKROTIK</t>
        </is>
      </c>
      <c r="C538" s="2" t="inlineStr">
        <is>
          <t>CRS328-24P-4S+RM</t>
        </is>
      </c>
      <c r="D538" s="2" t="inlineStr">
        <is>
          <t>Маршрутизатор 24 POE+/SFP+ CRS328-24P-4S+RM MIKROTIK</t>
        </is>
      </c>
      <c r="E538" s="2">
        <v>10</v>
      </c>
      <c r="F538" s="2">
        <v>10</v>
      </c>
      <c r="H538" s="2">
        <v>644</v>
      </c>
      <c r="I538" s="2" t="inlineStr">
        <is>
          <t>$</t>
        </is>
      </c>
      <c r="J538" s="2">
        <f>HYPERLINK("https://app.astro.lead-studio.pro/product/13a50633-ae54-4450-92b6-78a7ba5282e7")</f>
      </c>
    </row>
    <row r="539" spans="1:10" customHeight="0">
      <c r="A539" s="2" t="inlineStr">
        <is>
          <t>Коммутаторы</t>
        </is>
      </c>
      <c r="B539" s="2" t="inlineStr">
        <is>
          <t>MIKROTIK</t>
        </is>
      </c>
      <c r="C539" s="2" t="inlineStr">
        <is>
          <t>CRS326-24S+2Q+RM</t>
        </is>
      </c>
      <c r="D539" s="2" t="inlineStr">
        <is>
          <t>Маршрутизатор 24SFP+ CRS326-24S+2Q+RM MIKROTIK</t>
        </is>
      </c>
      <c r="E539" s="2" t="inlineStr">
        <is>
          <t>10</t>
        </is>
      </c>
      <c r="F539" s="2" t="inlineStr">
        <is>
          <t>10</t>
        </is>
      </c>
      <c r="H539" s="2">
        <v>796</v>
      </c>
      <c r="I539" s="2" t="inlineStr">
        <is>
          <t>$</t>
        </is>
      </c>
      <c r="J539" s="2">
        <f>HYPERLINK("https://app.astro.lead-studio.pro/product/b22edc14-5776-4d95-96f8-8b6cfd3ece06")</f>
      </c>
    </row>
    <row r="540" spans="1:10" customHeight="0">
      <c r="A540" s="2" t="inlineStr">
        <is>
          <t>Медиаконвертеры и модули</t>
        </is>
      </c>
      <c r="B540" s="2" t="inlineStr">
        <is>
          <t>HUAWEI</t>
        </is>
      </c>
      <c r="C540" s="2" t="inlineStr">
        <is>
          <t>02311GBW</t>
        </is>
      </c>
      <c r="D540" s="2" t="inlineStr">
        <is>
          <t>Трансивер 100GE 100M MPO MM QSFP28-100G-SR4 HUAWEI</t>
        </is>
      </c>
      <c r="E540" s="2">
        <v>100</v>
      </c>
      <c r="F540" s="2">
        <v>100</v>
      </c>
      <c r="H540" s="2">
        <v>607</v>
      </c>
      <c r="I540" s="2" t="inlineStr">
        <is>
          <t>$</t>
        </is>
      </c>
      <c r="J540" s="2">
        <f>HYPERLINK("https://app.astro.lead-studio.pro/product/bf1e0af1-5496-4945-8cff-b1f6ba7a7656")</f>
      </c>
    </row>
    <row r="541" spans="1:10" customHeight="0">
      <c r="A541" s="2" t="inlineStr">
        <is>
          <t>Медиаконвертеры и модули</t>
        </is>
      </c>
      <c r="B541" s="2" t="inlineStr">
        <is>
          <t>HUAWEI</t>
        </is>
      </c>
      <c r="C541" s="2" t="inlineStr">
        <is>
          <t>02318170</t>
        </is>
      </c>
      <c r="D541" s="2" t="inlineStr">
        <is>
          <t>Трансивер 10GE 10KM LC SM OSX010000 HUAWEI</t>
        </is>
      </c>
      <c r="E541" s="2" t="inlineStr">
        <is>
          <t>1</t>
        </is>
      </c>
      <c r="F541" s="2" t="inlineStr">
        <is>
          <t>1</t>
        </is>
      </c>
      <c r="H541" s="2">
        <v>696</v>
      </c>
      <c r="I541" s="2" t="inlineStr">
        <is>
          <t>$</t>
        </is>
      </c>
      <c r="J541" s="2">
        <f>HYPERLINK("https://app.astro.lead-studio.pro/product/15af9f46-8dce-4434-954e-1e140b84cb65")</f>
      </c>
    </row>
    <row r="542" spans="1:10" customHeight="0">
      <c r="A542" s="2" t="inlineStr">
        <is>
          <t>Медиаконвертеры и модули</t>
        </is>
      </c>
      <c r="B542" s="2" t="inlineStr">
        <is>
          <t>HUAWEI</t>
        </is>
      </c>
      <c r="C542" s="2" t="inlineStr">
        <is>
          <t>02310QDJ</t>
        </is>
      </c>
      <c r="D542" s="2" t="inlineStr">
        <is>
          <t>Трансивер 10GE 10KM LC SM SFP-10G-LR HUAWEI</t>
        </is>
      </c>
      <c r="E542" s="2" t="inlineStr">
        <is>
          <t>1</t>
        </is>
      </c>
      <c r="F542" s="2" t="inlineStr">
        <is>
          <t>1</t>
        </is>
      </c>
      <c r="H542" s="2">
        <v>686</v>
      </c>
      <c r="I542" s="2" t="inlineStr">
        <is>
          <t>$</t>
        </is>
      </c>
      <c r="J542" s="2">
        <f>HYPERLINK("https://app.astro.lead-studio.pro/product/27d4aaeb-b3cb-4dc8-917a-c17b8731ceb9")</f>
      </c>
    </row>
    <row r="543" spans="1:10" customHeight="0">
      <c r="A543" s="2" t="inlineStr">
        <is>
          <t>Медиаконвертеры и модули</t>
        </is>
      </c>
      <c r="B543" s="2" t="inlineStr">
        <is>
          <t>HUAWEI</t>
        </is>
      </c>
      <c r="C543" s="2" t="inlineStr">
        <is>
          <t>34061254</t>
        </is>
      </c>
      <c r="D543" s="2" t="inlineStr">
        <is>
          <t>Трансивер 25GE 100M LC MM OMXD30011 HUAWEI</t>
        </is>
      </c>
      <c r="E543" s="2" t="inlineStr">
        <is>
          <t>10</t>
        </is>
      </c>
      <c r="F543" s="2" t="inlineStr">
        <is>
          <t>10</t>
        </is>
      </c>
      <c r="H543" s="2">
        <v>1005</v>
      </c>
      <c r="I543" s="2" t="inlineStr">
        <is>
          <t>$</t>
        </is>
      </c>
      <c r="J543" s="2">
        <f>HYPERLINK("https://app.astro.lead-studio.pro/product/9926f781-cec9-4735-9f72-2e979041b072")</f>
      </c>
    </row>
    <row r="544" spans="1:10" customHeight="0">
      <c r="A544" s="2" t="inlineStr">
        <is>
          <t>Медиаконвертеры и модули</t>
        </is>
      </c>
      <c r="B544" s="2" t="inlineStr">
        <is>
          <t>HUAWEI</t>
        </is>
      </c>
      <c r="C544" s="2" t="inlineStr">
        <is>
          <t>02311KNR</t>
        </is>
      </c>
      <c r="D544" s="2" t="inlineStr">
        <is>
          <t>Трансивер 25GE 100M LC MM SFP-25G-SR HUAWEI</t>
        </is>
      </c>
      <c r="E544" s="2" t="inlineStr">
        <is>
          <t>8</t>
        </is>
      </c>
      <c r="F544" s="2" t="inlineStr">
        <is>
          <t>8</t>
        </is>
      </c>
      <c r="H544" s="2">
        <v>821</v>
      </c>
      <c r="I544" s="2" t="inlineStr">
        <is>
          <t>$</t>
        </is>
      </c>
      <c r="J544" s="2">
        <f>HYPERLINK("https://app.astro.lead-studio.pro/product/720fe1bf-0372-4b09-bee0-a6dcb37d974e")</f>
      </c>
    </row>
    <row r="545" spans="1:10" customHeight="0">
      <c r="A545" s="2" t="inlineStr">
        <is>
          <t>Медиаконвертеры и модули</t>
        </is>
      </c>
      <c r="B545" s="2" t="inlineStr">
        <is>
          <t>HUAWEI</t>
        </is>
      </c>
      <c r="C545" s="2" t="inlineStr">
        <is>
          <t>02313BJK</t>
        </is>
      </c>
      <c r="D545" s="2" t="inlineStr">
        <is>
          <t>Трансивер 25GE 100M LC MM SFP-25G-SR-MP HUAWEI</t>
        </is>
      </c>
      <c r="E545" s="2">
        <v>10</v>
      </c>
      <c r="F545" s="2">
        <v>10</v>
      </c>
      <c r="H545" s="2">
        <v>825</v>
      </c>
      <c r="I545" s="2" t="inlineStr">
        <is>
          <t>$</t>
        </is>
      </c>
      <c r="J545" s="2">
        <f>HYPERLINK("https://app.astro.lead-studio.pro/product/00b65fd1-0f10-4576-b02b-00bceefffce3")</f>
      </c>
    </row>
    <row r="546" spans="1:10" customHeight="0">
      <c r="A546" s="2" t="inlineStr">
        <is>
          <t>Медиаконвертеры и модули</t>
        </is>
      </c>
      <c r="B546" s="2" t="inlineStr">
        <is>
          <t>LENOVO</t>
        </is>
      </c>
      <c r="C546" s="2" t="inlineStr">
        <is>
          <t>00D9865</t>
        </is>
      </c>
      <c r="D546" s="2" t="inlineStr">
        <is>
          <t>Трансивер 40GBASE-ISR4 00D9865 LENOVO</t>
        </is>
      </c>
      <c r="E546" s="2" t="inlineStr">
        <is>
          <t>2</t>
        </is>
      </c>
      <c r="F546" s="2" t="inlineStr">
        <is>
          <t>2</t>
        </is>
      </c>
      <c r="H546" s="2">
        <v>1520</v>
      </c>
      <c r="I546" s="2" t="inlineStr">
        <is>
          <t>$</t>
        </is>
      </c>
      <c r="J546" s="2">
        <f>HYPERLINK("https://app.astro.lead-studio.pro/product/de9d04b8-95c3-41af-9f70-997500cbb7f9")</f>
      </c>
    </row>
    <row r="547" spans="1:10" customHeight="0">
      <c r="A547" s="2" t="inlineStr">
        <is>
          <t>Медиаконвертеры и модули</t>
        </is>
      </c>
      <c r="B547" s="2" t="inlineStr">
        <is>
          <t>HUAWEI</t>
        </is>
      </c>
      <c r="C547" s="2" t="inlineStr">
        <is>
          <t>02310MHS</t>
        </is>
      </c>
      <c r="D547" s="2" t="inlineStr">
        <is>
          <t>Трансивер 40GE 10KM LC SM QSFP-40G-LR4 HUAWEI</t>
        </is>
      </c>
      <c r="E547" s="2">
        <v>10</v>
      </c>
      <c r="F547" s="2">
        <v>10</v>
      </c>
      <c r="H547" s="2">
        <v>4244</v>
      </c>
      <c r="I547" s="2" t="inlineStr">
        <is>
          <t>$</t>
        </is>
      </c>
      <c r="J547" s="2">
        <f>HYPERLINK("https://app.astro.lead-studio.pro/product/68d07ec4-316f-4ab7-99d2-ef6b44b9cea3")</f>
      </c>
    </row>
    <row r="548" spans="1:10" customHeight="0">
      <c r="A548" s="2" t="inlineStr">
        <is>
          <t>Медиаконвертеры и модули</t>
        </is>
      </c>
      <c r="B548" s="2" t="inlineStr">
        <is>
          <t>HUAWEI</t>
        </is>
      </c>
      <c r="C548" s="2" t="inlineStr">
        <is>
          <t>02310RMB</t>
        </is>
      </c>
      <c r="D548" s="2" t="inlineStr">
        <is>
          <t>Трансивер 40GE 300M MPO MM QSFP-40G-ESR4 HUAWEI</t>
        </is>
      </c>
      <c r="E548" s="2">
        <v>100</v>
      </c>
      <c r="F548" s="2">
        <v>100</v>
      </c>
      <c r="H548" s="2">
        <v>532</v>
      </c>
      <c r="I548" s="2" t="inlineStr">
        <is>
          <t>$</t>
        </is>
      </c>
      <c r="J548" s="2">
        <f>HYPERLINK("https://app.astro.lead-studio.pro/product/7a8d8225-530c-42a9-970c-8f2014639ecc")</f>
      </c>
    </row>
    <row r="549" spans="1:10" customHeight="0">
      <c r="A549" s="2" t="inlineStr">
        <is>
          <t>Медиаконвертеры и модули</t>
        </is>
      </c>
      <c r="B549" s="2" t="inlineStr">
        <is>
          <t>HUAWEI</t>
        </is>
      </c>
      <c r="C549" s="2" t="inlineStr">
        <is>
          <t>34060779</t>
        </is>
      </c>
      <c r="D549" s="2" t="inlineStr">
        <is>
          <t>Трансивер FC 16G 100M LC 34060779 HUAWEI</t>
        </is>
      </c>
      <c r="E549" s="2">
        <v>10</v>
      </c>
      <c r="F549" s="2">
        <v>10</v>
      </c>
      <c r="H549" s="2">
        <v>468</v>
      </c>
      <c r="I549" s="2" t="inlineStr">
        <is>
          <t>$</t>
        </is>
      </c>
      <c r="J549" s="2">
        <f>HYPERLINK("https://app.astro.lead-studio.pro/product/d7cd22bf-4f2c-4558-981c-9d9f40e2a995")</f>
      </c>
    </row>
    <row r="550" spans="1:10" customHeight="0">
      <c r="A550" s="2" t="inlineStr">
        <is>
          <t>Проводные маршрутизаторы</t>
        </is>
      </c>
      <c r="B550" s="2" t="inlineStr">
        <is>
          <t>HUAWEI</t>
        </is>
      </c>
      <c r="C550" s="2" t="inlineStr">
        <is>
          <t>03022PYE</t>
        </is>
      </c>
      <c r="D550" s="2" t="inlineStr">
        <is>
          <t>Аксессуар для маршрутизатора MEZZANINE CARD MZ312-4X10GE IT11MXEK HUAWEI</t>
        </is>
      </c>
      <c r="E550" s="2" t="inlineStr">
        <is>
          <t>8</t>
        </is>
      </c>
      <c r="F550" s="2" t="inlineStr">
        <is>
          <t>8</t>
        </is>
      </c>
      <c r="H550" s="2">
        <v>1058</v>
      </c>
      <c r="I550" s="2" t="inlineStr">
        <is>
          <t>$</t>
        </is>
      </c>
      <c r="J550" s="2">
        <f>HYPERLINK("https://app.astro.lead-studio.pro/product/2c0106e6-663f-4e8e-8493-42f8f480d6b9")</f>
      </c>
    </row>
    <row r="551" spans="1:10" customHeight="0">
      <c r="A551" s="2" t="inlineStr">
        <is>
          <t>Проводные маршрутизаторы</t>
        </is>
      </c>
      <c r="B551" s="2" t="inlineStr">
        <is>
          <t>MIKROTIK</t>
        </is>
      </c>
      <c r="C551" s="2" t="inlineStr">
        <is>
          <t>RB1100DX4</t>
        </is>
      </c>
      <c r="D551" s="2" t="inlineStr">
        <is>
          <t>Маршрутизатор 10/100/1000M 13PORT DUDE RB1100DX4 MIKROTIK</t>
        </is>
      </c>
      <c r="E551" s="2" t="inlineStr">
        <is>
          <t>4</t>
        </is>
      </c>
      <c r="F551" s="2" t="inlineStr">
        <is>
          <t>4</t>
        </is>
      </c>
      <c r="H551" s="2">
        <v>381</v>
      </c>
      <c r="I551" s="2" t="inlineStr">
        <is>
          <t>$</t>
        </is>
      </c>
      <c r="J551" s="2">
        <f>HYPERLINK("https://app.astro.lead-studio.pro/product/177c98cb-b15a-40b6-a4ec-d9f076499129")</f>
      </c>
    </row>
    <row r="552" spans="1:10" customHeight="0">
      <c r="A552" s="2" t="inlineStr">
        <is>
          <t>Проводные маршрутизаторы</t>
        </is>
      </c>
      <c r="B552" s="2" t="inlineStr">
        <is>
          <t>MIKROTIK</t>
        </is>
      </c>
      <c r="C552" s="2" t="inlineStr">
        <is>
          <t>RB1100DX4 DUDE EDITION</t>
        </is>
      </c>
      <c r="D552" s="2" t="inlineStr">
        <is>
          <t>Маршрутизатор 10/100/1000M 13PORT RB1100AHX4 DUDE EDIT MIKROTIK</t>
        </is>
      </c>
      <c r="E552" s="2" t="inlineStr">
        <is>
          <t>9</t>
        </is>
      </c>
      <c r="F552" s="2" t="inlineStr">
        <is>
          <t>9</t>
        </is>
      </c>
      <c r="H552" s="2">
        <v>380</v>
      </c>
      <c r="I552" s="2" t="inlineStr">
        <is>
          <t>$</t>
        </is>
      </c>
      <c r="J552" s="2">
        <f>HYPERLINK("https://app.astro.lead-studio.pro/product/18eb1d6d-410d-42c8-9cdd-1b568a5b3926")</f>
      </c>
    </row>
    <row r="553" spans="1:10" customHeight="0">
      <c r="A553" s="2" t="inlineStr">
        <is>
          <t>Проводные маршрутизаторы</t>
        </is>
      </c>
      <c r="B553" s="2" t="inlineStr">
        <is>
          <t>MIKROTIK</t>
        </is>
      </c>
      <c r="C553" s="2" t="inlineStr">
        <is>
          <t>RB1100X4</t>
        </is>
      </c>
      <c r="D553" s="2" t="inlineStr">
        <is>
          <t>Маршрутизатор 10/100/1000M 13PORT RB1100AHX4 MIKROTIK</t>
        </is>
      </c>
      <c r="E553" s="2" t="inlineStr">
        <is>
          <t>4</t>
        </is>
      </c>
      <c r="F553" s="2" t="inlineStr">
        <is>
          <t>4</t>
        </is>
      </c>
      <c r="H553" s="2">
        <v>356</v>
      </c>
      <c r="I553" s="2" t="inlineStr">
        <is>
          <t>$</t>
        </is>
      </c>
      <c r="J553" s="2">
        <f>HYPERLINK("https://app.astro.lead-studio.pro/product/c585b2d0-956f-435f-b6a8-4f72458eedaf")</f>
      </c>
    </row>
    <row r="554" spans="1:10" customHeight="0">
      <c r="A554" s="2" t="inlineStr">
        <is>
          <t>Проводные маршрутизаторы</t>
        </is>
      </c>
      <c r="B554" s="2" t="inlineStr">
        <is>
          <t>MIKROTIK</t>
        </is>
      </c>
      <c r="C554" s="2" t="inlineStr">
        <is>
          <t>CCR2004-16G-2S+PC</t>
        </is>
      </c>
      <c r="D554" s="2" t="inlineStr">
        <is>
          <t>Маршрутизатор 1000M 16PORT CCR2004-16G-2S+PC MIKROTIK</t>
        </is>
      </c>
      <c r="E554" s="2" t="inlineStr">
        <is>
          <t>3</t>
        </is>
      </c>
      <c r="F554" s="2" t="inlineStr">
        <is>
          <t>3</t>
        </is>
      </c>
      <c r="H554" s="2">
        <v>559</v>
      </c>
      <c r="I554" s="2" t="inlineStr">
        <is>
          <t>$</t>
        </is>
      </c>
      <c r="J554" s="2">
        <f>HYPERLINK("https://app.astro.lead-studio.pro/product/32d58f42-3854-4be0-a9ef-77e9f609f209")</f>
      </c>
    </row>
    <row r="555" spans="1:10" customHeight="0">
      <c r="A555" s="2" t="inlineStr">
        <is>
          <t>Проводные маршрутизаторы</t>
        </is>
      </c>
      <c r="B555" s="2" t="inlineStr">
        <is>
          <t>TP-LINK</t>
        </is>
      </c>
      <c r="C555" s="2" t="inlineStr">
        <is>
          <t>ER8411</t>
        </is>
      </c>
      <c r="D555" s="2" t="inlineStr">
        <is>
          <t>Маршрутизатор 1000M 8PORT 2*10G ER8411 TP-LINK</t>
        </is>
      </c>
      <c r="E555" s="2" t="inlineStr">
        <is>
          <t>2</t>
        </is>
      </c>
      <c r="F555" s="2" t="inlineStr">
        <is>
          <t>2</t>
        </is>
      </c>
      <c r="H555" s="2">
        <v>689</v>
      </c>
      <c r="I555" s="2" t="inlineStr">
        <is>
          <t>$</t>
        </is>
      </c>
      <c r="J555" s="2">
        <f>HYPERLINK("https://app.astro.lead-studio.pro/product/67bf8d5a-8d8d-406e-a9ca-9709860d19e3")</f>
      </c>
    </row>
    <row r="556" spans="1:10" customHeight="0">
      <c r="A556" s="2" t="inlineStr">
        <is>
          <t>Проводные маршрутизаторы</t>
        </is>
      </c>
      <c r="B556" s="2" t="inlineStr">
        <is>
          <t>HUAWEI CARRIER</t>
        </is>
      </c>
      <c r="C556" s="2" t="inlineStr">
        <is>
          <t>02353EWQ-SET1</t>
        </is>
      </c>
      <c r="D556" s="2" t="inlineStr">
        <is>
          <t>Маршрутизатор NETENGINE 8000 M8 CR8PM8BASAC3 HUAWEI</t>
        </is>
      </c>
      <c r="E556" s="2" t="inlineStr">
        <is>
          <t>1</t>
        </is>
      </c>
      <c r="F556" s="2" t="inlineStr">
        <is>
          <t>1</t>
        </is>
      </c>
      <c r="H556" s="2">
        <v>43797</v>
      </c>
      <c r="I556" s="2" t="inlineStr">
        <is>
          <t>$</t>
        </is>
      </c>
      <c r="J556" s="2">
        <f>HYPERLINK("https://app.astro.lead-studio.pro/product/a7e328eb-37b6-4724-b15f-7f148d45d7e7")</f>
      </c>
    </row>
    <row r="557" spans="1:10" customHeight="0">
      <c r="A557" s="2" t="inlineStr">
        <is>
          <t>Промышленный Ethernet</t>
        </is>
      </c>
      <c r="B557" s="2" t="inlineStr">
        <is>
          <t>LANNER</t>
        </is>
      </c>
      <c r="C557" s="2" t="inlineStr">
        <is>
          <t>NCA-1010B</t>
        </is>
      </c>
      <c r="D557" s="2" t="inlineStr">
        <is>
          <t>Платформа ATOM-E3825 PSB2970-002 NCA-1010B LANNER</t>
        </is>
      </c>
      <c r="E557" s="2">
        <v>40</v>
      </c>
      <c r="F557" s="2">
        <v>40</v>
      </c>
      <c r="H557" s="2">
        <v>577</v>
      </c>
      <c r="I557" s="2" t="inlineStr">
        <is>
          <t>$</t>
        </is>
      </c>
      <c r="J557" s="2">
        <f>HYPERLINK("https://app.astro.lead-studio.pro/product/2d3b0038-e8f4-4604-ab78-da4c2a8179a8")</f>
      </c>
    </row>
    <row r="558" spans="1:10" customHeight="0">
      <c r="A558" s="2" t="inlineStr">
        <is>
          <t>Промышленный Ethernet</t>
        </is>
      </c>
      <c r="B558" s="2" t="inlineStr">
        <is>
          <t>LANNER</t>
        </is>
      </c>
      <c r="C558" s="2" t="inlineStr">
        <is>
          <t>NCA-1011A</t>
        </is>
      </c>
      <c r="D558" s="2" t="inlineStr">
        <is>
          <t>Платформа CMD-J1900 NCA-1011A LANNER</t>
        </is>
      </c>
      <c r="E558" s="2">
        <v>40</v>
      </c>
      <c r="F558" s="2">
        <v>40</v>
      </c>
      <c r="H558" s="2">
        <v>529</v>
      </c>
      <c r="I558" s="2" t="inlineStr">
        <is>
          <t>$</t>
        </is>
      </c>
      <c r="J558" s="2">
        <f>HYPERLINK("https://app.astro.lead-studio.pro/product/72db21d5-52e6-48e7-b9b6-682530ccf59f")</f>
      </c>
    </row>
    <row r="559" spans="1:10" customHeight="0">
      <c r="A559" s="2" t="inlineStr">
        <is>
          <t>Промышленный Ethernet</t>
        </is>
      </c>
      <c r="B559" s="2" t="inlineStr">
        <is>
          <t>LANNER</t>
        </is>
      </c>
      <c r="C559" s="2" t="inlineStr">
        <is>
          <t>LEC-6032-IT2</t>
        </is>
      </c>
      <c r="D559" s="2" t="inlineStr">
        <is>
          <t>Платформа сетевой безопасности LEC-6032-IT2 LANNER</t>
        </is>
      </c>
      <c r="E559" s="2" t="inlineStr">
        <is>
          <t>2</t>
        </is>
      </c>
      <c r="F559" s="2" t="inlineStr">
        <is>
          <t>2</t>
        </is>
      </c>
      <c r="H559" s="2">
        <v>738</v>
      </c>
      <c r="I559" s="2" t="inlineStr">
        <is>
          <t>$</t>
        </is>
      </c>
      <c r="J559" s="2">
        <f>HYPERLINK("https://app.astro.lead-studio.pro/product/82d4c629-7cfc-45e8-8d51-e9206abfdd62")</f>
      </c>
    </row>
    <row r="560" spans="1:10" customHeight="0">
      <c r="A560" s="2" t="inlineStr">
        <is>
          <t>Сетевые адаптеры и модемы</t>
        </is>
      </c>
      <c r="B560" s="2" t="inlineStr">
        <is>
          <t>HUAWEI</t>
        </is>
      </c>
      <c r="C560" s="2" t="inlineStr">
        <is>
          <t>03022SXA</t>
        </is>
      </c>
      <c r="D560" s="2" t="inlineStr">
        <is>
          <t>Сетевая карта 40GE PCIE3 X8 03022SXA HUAWEI</t>
        </is>
      </c>
      <c r="E560" s="2">
        <v>40</v>
      </c>
      <c r="F560" s="2">
        <v>40</v>
      </c>
      <c r="H560" s="2">
        <v>1143</v>
      </c>
      <c r="I560" s="2" t="inlineStr">
        <is>
          <t>$</t>
        </is>
      </c>
      <c r="J560" s="2">
        <f>HYPERLINK("https://app.astro.lead-studio.pro/product/47a72529-3a70-4df3-9518-e637e9b6f729")</f>
      </c>
    </row>
    <row r="561" spans="1:10" customHeight="0">
      <c r="A561" s="2" t="inlineStr">
        <is>
          <t>Сетевые адаптеры и модемы</t>
        </is>
      </c>
      <c r="B561" s="2" t="inlineStr">
        <is>
          <t>HUAWEI</t>
        </is>
      </c>
      <c r="C561" s="2" t="inlineStr">
        <is>
          <t>02311WTU</t>
        </is>
      </c>
      <c r="D561" s="2" t="inlineStr">
        <is>
          <t>Сетевая карта 4X10GE PCIE3 X8 SFP+ 4TR/MM 02311WTU HUAWEI</t>
        </is>
      </c>
      <c r="E561" s="2" t="inlineStr">
        <is>
          <t>4</t>
        </is>
      </c>
      <c r="F561" s="2" t="inlineStr">
        <is>
          <t>4</t>
        </is>
      </c>
      <c r="H561" s="2">
        <v>1168</v>
      </c>
      <c r="I561" s="2" t="inlineStr">
        <is>
          <t>$</t>
        </is>
      </c>
      <c r="J561" s="2">
        <f>HYPERLINK("https://app.astro.lead-studio.pro/product/230daddd-2d21-4c06-8c0f-e47c54e5d95c")</f>
      </c>
    </row>
    <row r="562" spans="1:10" customHeight="0">
      <c r="A562" s="2" t="inlineStr">
        <is>
          <t>Сетевые адаптеры и модемы</t>
        </is>
      </c>
      <c r="B562" s="2" t="inlineStr">
        <is>
          <t>LR-LINK</t>
        </is>
      </c>
      <c r="C562" s="2" t="inlineStr">
        <is>
          <t>LRES3026PF-OCP</t>
        </is>
      </c>
      <c r="D562" s="2" t="inlineStr">
        <is>
          <t>Сетевой адаптер 2X100G SFP28 OCP3.0 LRES3026PF-OCP LR-LINK</t>
        </is>
      </c>
      <c r="E562" s="2">
        <v>10</v>
      </c>
      <c r="F562" s="2">
        <v>10</v>
      </c>
      <c r="H562" s="2">
        <v>512</v>
      </c>
      <c r="I562" s="2" t="inlineStr">
        <is>
          <t>$</t>
        </is>
      </c>
      <c r="J562" s="2">
        <f>HYPERLINK("https://app.astro.lead-studio.pro/product/a7031218-f693-4c03-a7d1-dd82d7fd5cce")</f>
      </c>
    </row>
    <row r="563" spans="1:10" customHeight="0">
      <c r="A563" s="2" t="inlineStr">
        <is>
          <t>Сетевые адаптеры и модемы</t>
        </is>
      </c>
      <c r="B563" s="2" t="inlineStr">
        <is>
          <t>MELLANOX</t>
        </is>
      </c>
      <c r="C563" s="2" t="inlineStr">
        <is>
          <t>MCX515A-CCAT</t>
        </is>
      </c>
      <c r="D563" s="2" t="inlineStr">
        <is>
          <t>Сетевой адаптер CONNECTX-5 SINGLEPORT 100GB MCX515A-CCAT MELLANOX</t>
        </is>
      </c>
      <c r="E563" s="2">
        <v>10</v>
      </c>
      <c r="F563" s="2">
        <v>10</v>
      </c>
      <c r="H563" s="2">
        <v>528</v>
      </c>
      <c r="I563" s="2" t="inlineStr">
        <is>
          <t>$</t>
        </is>
      </c>
      <c r="J563" s="2">
        <f>HYPERLINK("https://app.astro.lead-studio.pro/product/233e81e6-3da3-41fe-9640-df31616378e5")</f>
      </c>
    </row>
    <row r="564" spans="1:10" customHeight="0">
      <c r="A564" s="2" t="inlineStr">
        <is>
          <t>Сетевые адаптеры и модемы</t>
        </is>
      </c>
      <c r="B564" s="2" t="inlineStr">
        <is>
          <t>MELLANOX</t>
        </is>
      </c>
      <c r="C564" s="2" t="inlineStr">
        <is>
          <t>MCX653106A-ECAT</t>
        </is>
      </c>
      <c r="D564" s="2" t="inlineStr">
        <is>
          <t>Сетевой адаптер CONNECTX-6 VPI MCX653106A-ECAT MELLANOX</t>
        </is>
      </c>
      <c r="E564" s="2">
        <v>10</v>
      </c>
      <c r="F564" s="2">
        <v>10</v>
      </c>
      <c r="H564" s="2">
        <v>1197</v>
      </c>
      <c r="I564" s="2" t="inlineStr">
        <is>
          <t>$</t>
        </is>
      </c>
      <c r="J564" s="2">
        <f>HYPERLINK("https://app.astro.lead-studio.pro/product/eb871096-d880-4b20-915c-e61956ee2eeb")</f>
      </c>
    </row>
    <row r="565" spans="1:10" customHeight="0">
      <c r="A565" s="2" t="inlineStr">
        <is>
          <t>Сетевые адаптеры и модемы</t>
        </is>
      </c>
      <c r="B565" s="2" t="inlineStr">
        <is>
          <t>MELLANOX</t>
        </is>
      </c>
      <c r="C565" s="2" t="inlineStr">
        <is>
          <t>MCX516A-CCAT</t>
        </is>
      </c>
      <c r="D565" s="2" t="inlineStr">
        <is>
          <t>Сетевой адаптер PCIE 100GB DUAL PORT MCX516A-CCAT MELLANOX</t>
        </is>
      </c>
      <c r="E565" s="2">
        <v>100</v>
      </c>
      <c r="F565" s="2">
        <v>100</v>
      </c>
      <c r="H565" s="2">
        <v>637</v>
      </c>
      <c r="I565" s="2" t="inlineStr">
        <is>
          <t>$</t>
        </is>
      </c>
      <c r="J565" s="2">
        <f>HYPERLINK("https://app.astro.lead-studio.pro/product/dca724b1-2ae0-4345-9679-97457f646680")</f>
      </c>
    </row>
    <row r="566" spans="1:10" customHeight="0">
      <c r="A566" s="2" t="inlineStr">
        <is>
          <t>Сетевые адаптеры и модемы</t>
        </is>
      </c>
      <c r="B566" s="2" t="inlineStr">
        <is>
          <t>LR-LINK</t>
        </is>
      </c>
      <c r="C566" s="2" t="inlineStr">
        <is>
          <t>LRES1019PF-QSFP28</t>
        </is>
      </c>
      <c r="D566" s="2" t="inlineStr">
        <is>
          <t>Сетевой адаптер PCIE 100GB QSFP+ LRES1019PF-QSFP28 LR-LINK</t>
        </is>
      </c>
      <c r="E566" s="2" t="inlineStr">
        <is>
          <t>6</t>
        </is>
      </c>
      <c r="F566" s="2" t="inlineStr">
        <is>
          <t>6</t>
        </is>
      </c>
      <c r="H566" s="2">
        <v>474</v>
      </c>
      <c r="I566" s="2" t="inlineStr">
        <is>
          <t>$</t>
        </is>
      </c>
      <c r="J566" s="2">
        <f>HYPERLINK("https://app.astro.lead-studio.pro/product/d74fb447-ebb8-4d70-9a62-e9f1bf38dc60")</f>
      </c>
    </row>
    <row r="567" spans="1:10" customHeight="0">
      <c r="A567" s="2" t="inlineStr">
        <is>
          <t>Сетевые адаптеры и модемы</t>
        </is>
      </c>
      <c r="B567" s="2" t="inlineStr">
        <is>
          <t>SYNOLOGY</t>
        </is>
      </c>
      <c r="C567" s="2" t="inlineStr">
        <is>
          <t>E10G30-T2</t>
        </is>
      </c>
      <c r="D567" s="2" t="inlineStr">
        <is>
          <t>Сетевой адаптер PCIE 10GB E10G30-T2 SYNOLOGY</t>
        </is>
      </c>
      <c r="E567" s="2" t="inlineStr">
        <is>
          <t>1</t>
        </is>
      </c>
      <c r="F567" s="2" t="inlineStr">
        <is>
          <t>1</t>
        </is>
      </c>
      <c r="H567" s="2">
        <v>394</v>
      </c>
      <c r="I567" s="2" t="inlineStr">
        <is>
          <t>$</t>
        </is>
      </c>
      <c r="J567" s="2">
        <f>HYPERLINK("https://app.astro.lead-studio.pro/product/09af0763-483d-49c0-bda5-98dd28f5dc40")</f>
      </c>
    </row>
    <row r="568" spans="1:10" customHeight="0">
      <c r="A568" s="2" t="inlineStr">
        <is>
          <t>Сетевые адаптеры и модемы</t>
        </is>
      </c>
      <c r="B568" s="2" t="inlineStr">
        <is>
          <t>LR-LINK</t>
        </is>
      </c>
      <c r="C568" s="2" t="inlineStr">
        <is>
          <t>LREC9804BT</t>
        </is>
      </c>
      <c r="D568" s="2" t="inlineStr">
        <is>
          <t>Сетевой адаптер PCIE 10GB LREC9804BT LR-LINK</t>
        </is>
      </c>
      <c r="E568" s="2" t="inlineStr">
        <is>
          <t>8</t>
        </is>
      </c>
      <c r="F568" s="2" t="inlineStr">
        <is>
          <t>8</t>
        </is>
      </c>
      <c r="H568" s="2">
        <v>384</v>
      </c>
      <c r="I568" s="2" t="inlineStr">
        <is>
          <t>$</t>
        </is>
      </c>
      <c r="J568" s="2">
        <f>HYPERLINK("https://app.astro.lead-studio.pro/product/c9c939dd-efc4-49a7-baf1-38cee8649e9a")</f>
      </c>
    </row>
    <row r="569" spans="1:10" customHeight="0">
      <c r="A569" s="2" t="inlineStr">
        <is>
          <t>Сетевые адаптеры и модемы</t>
        </is>
      </c>
      <c r="B569" s="2" t="inlineStr">
        <is>
          <t>SYNOLOGY</t>
        </is>
      </c>
      <c r="C569" s="2" t="inlineStr">
        <is>
          <t>E10G30-F2</t>
        </is>
      </c>
      <c r="D569" s="2" t="inlineStr">
        <is>
          <t>Сетевой адаптер PCIE 10GB SFP+ E10G30-F2 SYNOLOGY</t>
        </is>
      </c>
      <c r="E569" s="2">
        <v>10</v>
      </c>
      <c r="F569" s="2">
        <v>10</v>
      </c>
      <c r="H569" s="2">
        <v>426</v>
      </c>
      <c r="I569" s="2" t="inlineStr">
        <is>
          <t>$</t>
        </is>
      </c>
      <c r="J569" s="2">
        <f>HYPERLINK("https://app.astro.lead-studio.pro/product/db419da3-82a6-4d5f-82fe-34915f0939bc")</f>
      </c>
    </row>
    <row r="570" spans="1:10" customHeight="0">
      <c r="A570" s="2" t="inlineStr">
        <is>
          <t>Сетевые адаптеры и модемы</t>
        </is>
      </c>
      <c r="B570" s="2" t="inlineStr">
        <is>
          <t>LR-LINK</t>
        </is>
      </c>
      <c r="C570" s="2" t="inlineStr">
        <is>
          <t>LRES1023PF-4SFP28</t>
        </is>
      </c>
      <c r="D570" s="2" t="inlineStr">
        <is>
          <t>Сетевой адаптер PCIE 25GB 4SFP28 LRES1023PF-4SFP28 LR-LINK</t>
        </is>
      </c>
      <c r="E570" s="2" t="inlineStr">
        <is>
          <t>1</t>
        </is>
      </c>
      <c r="F570" s="2" t="inlineStr">
        <is>
          <t>1</t>
        </is>
      </c>
      <c r="H570" s="2">
        <v>421</v>
      </c>
      <c r="I570" s="2" t="inlineStr">
        <is>
          <t>$</t>
        </is>
      </c>
      <c r="J570" s="2">
        <f>HYPERLINK("https://app.astro.lead-studio.pro/product/f67f51bb-a586-48af-9d31-19c90561bc42")</f>
      </c>
    </row>
    <row r="571" spans="1:10" customHeight="0">
      <c r="A571" s="2" t="inlineStr">
        <is>
          <t>Сетевые адаптеры и модемы</t>
        </is>
      </c>
      <c r="B571" s="2" t="inlineStr">
        <is>
          <t>LR-LINK</t>
        </is>
      </c>
      <c r="C571" s="2" t="inlineStr">
        <is>
          <t>LRES1027PF-4SFP28</t>
        </is>
      </c>
      <c r="D571" s="2" t="inlineStr">
        <is>
          <t>Сетевой адаптер PCIE 25GB 4SFP28 LRES1027PF-4SFP28 LR-LINK</t>
        </is>
      </c>
      <c r="E571" s="2">
        <v>40</v>
      </c>
      <c r="F571" s="2">
        <v>40</v>
      </c>
      <c r="H571" s="2">
        <v>339</v>
      </c>
      <c r="I571" s="2" t="inlineStr">
        <is>
          <t>$</t>
        </is>
      </c>
      <c r="J571" s="2">
        <f>HYPERLINK("https://app.astro.lead-studio.pro/product/a6771dbf-b60d-4f69-83ee-1098de4905a0")</f>
      </c>
    </row>
    <row r="572" spans="1:10" customHeight="0">
      <c r="A572" s="2" t="inlineStr">
        <is>
          <t>Сетевые адаптеры и модемы</t>
        </is>
      </c>
      <c r="B572" s="2" t="inlineStr">
        <is>
          <t>LR-LINK</t>
        </is>
      </c>
      <c r="C572" s="2" t="inlineStr">
        <is>
          <t>LRES1013PT</t>
        </is>
      </c>
      <c r="D572" s="2" t="inlineStr">
        <is>
          <t>Сетевой адаптер PCIE8 10GB 4PORT ETHERNET LRES1013PT LR-LINK</t>
        </is>
      </c>
      <c r="E572" s="2" t="inlineStr">
        <is>
          <t>4</t>
        </is>
      </c>
      <c r="F572" s="2" t="inlineStr">
        <is>
          <t>4</t>
        </is>
      </c>
      <c r="H572" s="2">
        <v>476</v>
      </c>
      <c r="I572" s="2" t="inlineStr">
        <is>
          <t>$</t>
        </is>
      </c>
      <c r="J572" s="2">
        <f>HYPERLINK("https://app.astro.lead-studio.pro/product/808be933-dd42-4a2e-bd91-c04271106e8d")</f>
      </c>
    </row>
    <row r="573" spans="1:10" customHeight="0">
      <c r="A573" s="2" t="inlineStr">
        <is>
          <t>Сетевые адаптеры и модемы</t>
        </is>
      </c>
      <c r="B573" s="2" t="inlineStr">
        <is>
          <t>LR-LINK</t>
        </is>
      </c>
      <c r="C573" s="2" t="inlineStr">
        <is>
          <t>LRES1046PF-2QSFP28</t>
        </is>
      </c>
      <c r="D573" s="2" t="inlineStr">
        <is>
          <t>Сетевой адаптер PCIEX16 DUALPORT 100G LRES1046PF-2QSFP28 LR-LINK</t>
        </is>
      </c>
      <c r="E573" s="2" t="inlineStr">
        <is>
          <t>8</t>
        </is>
      </c>
      <c r="F573" s="2" t="inlineStr">
        <is>
          <t>8</t>
        </is>
      </c>
      <c r="H573" s="2">
        <v>329</v>
      </c>
      <c r="I573" s="2" t="inlineStr">
        <is>
          <t>$</t>
        </is>
      </c>
      <c r="J573" s="2">
        <f>HYPERLINK("https://app.astro.lead-studio.pro/product/4a273682-56fe-4731-a021-6f28cbf902ae")</f>
      </c>
    </row>
    <row r="574" spans="1:10" customHeight="0">
      <c r="A574" s="2" t="inlineStr">
        <is>
          <t>Интерактивные панели</t>
        </is>
      </c>
      <c r="B574" s="2" t="inlineStr">
        <is>
          <t>Horion</t>
        </is>
      </c>
      <c r="C574" s="2" t="inlineStr">
        <is>
          <t>75M5APro</t>
        </is>
      </c>
      <c r="D574" s="2" t="inlineStr">
        <is>
          <t>Интерактивная панель Horion Interactive Flat Panel 75M5APro 75» Interactive Flat Panel 1*Smart pen+1*Mirroring device + Wall mount</t>
        </is>
      </c>
      <c r="E574" s="2">
        <v>2</v>
      </c>
      <c r="F574" s="2">
        <v>2</v>
      </c>
      <c r="H574" s="2">
        <v>1790</v>
      </c>
      <c r="I574" s="2" t="inlineStr">
        <is>
          <t>$</t>
        </is>
      </c>
      <c r="J574" s="2">
        <f>HYPERLINK("https://app.astro.lead-studio.pro/product/4d6ddc30-21ee-4835-9725-8417f4f03305")</f>
      </c>
    </row>
    <row r="575" spans="1:10" customHeight="0">
      <c r="A575" s="2" t="inlineStr">
        <is>
          <t>Оборудование для аудио- и видеоконференций</t>
        </is>
      </c>
      <c r="B575" s="2" t="inlineStr">
        <is>
          <t>EPOS</t>
        </is>
      </c>
      <c r="C575" s="2" t="inlineStr">
        <is>
          <t>1000425</t>
        </is>
      </c>
      <c r="D575" s="2" t="inlineStr">
        <is>
          <t>Веб-камера EPOS Видеопанель EPOS EXPAND Vision 5 (PN:1000425) </t>
        </is>
      </c>
      <c r="E575" s="2">
        <v>1</v>
      </c>
      <c r="F575" s="2">
        <v>1</v>
      </c>
      <c r="H575" s="2">
        <v>2086</v>
      </c>
      <c r="I575" s="2" t="inlineStr">
        <is>
          <t>$</t>
        </is>
      </c>
      <c r="J575" s="2">
        <f>HYPERLINK("https://app.astro.lead-studio.pro/product/0bbe98e3-525c-46bc-b920-e60c917944d0")</f>
      </c>
    </row>
    <row r="576" spans="1:10" customHeight="0">
      <c r="A576" s="2" t="inlineStr">
        <is>
          <t>Оборудование для аудио- и видеоконференций</t>
        </is>
      </c>
      <c r="B576" s="2" t="inlineStr">
        <is>
          <t>Jabra</t>
        </is>
      </c>
      <c r="C576" s="2" t="inlineStr">
        <is>
          <t>9559-553-111</t>
        </is>
      </c>
      <c r="D576" s="2" t="inlineStr">
        <is>
          <t>Гарнитура Jabra Беспроводная гарнитура Jabra Engage 65
Stereo, EMEA (PN: 9559-553-111) </t>
        </is>
      </c>
      <c r="E576" s="2">
        <v>1</v>
      </c>
      <c r="F576" s="2">
        <v>1</v>
      </c>
      <c r="H576" s="2">
        <v>381</v>
      </c>
      <c r="I576" s="2" t="inlineStr">
        <is>
          <t>$</t>
        </is>
      </c>
      <c r="J576" s="2">
        <f>HYPERLINK("https://app.astro.lead-studio.pro/product/eae0afb7-f925-4a0c-82d3-1e0a6e8cdfca")</f>
      </c>
    </row>
    <row r="577" spans="1:10" customHeight="0">
      <c r="A577" s="2" t="inlineStr">
        <is>
          <t>Оборудование для аудио- и видеоконференций</t>
        </is>
      </c>
      <c r="B577" s="2" t="inlineStr">
        <is>
          <t>BARCO</t>
        </is>
      </c>
      <c r="C577" s="2" t="inlineStr">
        <is>
          <t>R9866210CN</t>
        </is>
      </c>
      <c r="D577" s="2" t="inlineStr">
        <is>
          <t>Беспроводной презентационный шлюз BARCO WiCS-2100 R9866210CN беспроводной шлюз WePresent, RTL {5}</t>
        </is>
      </c>
      <c r="E577" s="2">
        <v>1</v>
      </c>
      <c r="F577" s="2">
        <v>1</v>
      </c>
      <c r="H577" s="2">
        <v>1146</v>
      </c>
      <c r="I577" s="2" t="inlineStr">
        <is>
          <t>$</t>
        </is>
      </c>
      <c r="J577" s="2">
        <f>HYPERLINK("https://app.astro.lead-studio.pro/product/3553e535-cee6-42e4-ac7f-98f4b871f163")</f>
      </c>
    </row>
    <row r="578" spans="1:10" customHeight="0">
      <c r="A578" s="2" t="inlineStr">
        <is>
          <t>Оборудование для аудио- и видеоконференций</t>
        </is>
      </c>
      <c r="B578" s="2" t="inlineStr">
        <is>
          <t>EPOS</t>
        </is>
      </c>
      <c r="C578" s="2" t="inlineStr">
        <is>
          <t>1000203</t>
        </is>
      </c>
      <c r="D578" s="2" t="inlineStr">
        <is>
          <t>Спикерфон EPOS EXPAND 80T </t>
        </is>
      </c>
      <c r="E578" s="2">
        <v>3</v>
      </c>
      <c r="F578" s="2">
        <v>3</v>
      </c>
      <c r="H578" s="2">
        <v>682</v>
      </c>
      <c r="I578" s="2" t="inlineStr">
        <is>
          <t>$</t>
        </is>
      </c>
      <c r="J578" s="2">
        <f>HYPERLINK("https://app.astro.lead-studio.pro/product/24789e5d-e80a-45e2-82ef-526f0ddcfe3e")</f>
      </c>
    </row>
    <row r="579" spans="1:10" customHeight="0">
      <c r="A579" s="2" t="inlineStr">
        <is>
          <t>Оборудование для аудио- и видеоконференций</t>
        </is>
      </c>
      <c r="B579" s="2" t="inlineStr">
        <is>
          <t>EPOS</t>
        </is>
      </c>
      <c r="C579" s="2" t="inlineStr">
        <is>
          <t>1000662</t>
        </is>
      </c>
      <c r="D579" s="2" t="inlineStr">
        <is>
          <t>Спикерфон EPOS Спикерфон Epos EXPAND 40+ (PN: 1000662) </t>
        </is>
      </c>
      <c r="E579" s="2">
        <v>2</v>
      </c>
      <c r="F579" s="2">
        <v>2</v>
      </c>
      <c r="H579" s="2">
        <v>382</v>
      </c>
      <c r="I579" s="2" t="inlineStr">
        <is>
          <t>$</t>
        </is>
      </c>
      <c r="J579" s="2">
        <f>HYPERLINK("https://app.astro.lead-studio.pro/product/47c62c0b-2e0d-433d-97f1-a38785e292cd")</f>
      </c>
    </row>
    <row r="580" spans="1:10" customHeight="0">
      <c r="A580" s="2" t="inlineStr">
        <is>
          <t>Оборудование для аудио- и видеоконференций</t>
        </is>
      </c>
      <c r="B580" s="2" t="inlineStr">
        <is>
          <t>Jabra</t>
        </is>
      </c>
      <c r="C580" s="2" t="inlineStr">
        <is>
          <t>2775-109</t>
        </is>
      </c>
      <c r="D580" s="2" t="inlineStr">
        <is>
          <t>Спикерфон Jabra Speak2 75, MS Teams</t>
        </is>
      </c>
      <c r="E580" s="2">
        <v>9</v>
      </c>
      <c r="F580" s="2">
        <v>9</v>
      </c>
      <c r="H580" s="2">
        <v>340</v>
      </c>
      <c r="I580" s="2" t="inlineStr">
        <is>
          <t>$</t>
        </is>
      </c>
      <c r="J580" s="2">
        <f>HYPERLINK("https://app.astro.lead-studio.pro/product/81f4214a-0315-413e-8ca9-e40d7d5d7845")</f>
      </c>
    </row>
    <row r="581" spans="1:10" customHeight="0">
      <c r="A581" s="2" t="inlineStr">
        <is>
          <t>Оборудование для аудио- и видеоконференций</t>
        </is>
      </c>
      <c r="B581" s="2" t="inlineStr">
        <is>
          <t>Jabra</t>
        </is>
      </c>
      <c r="C581" s="2" t="inlineStr">
        <is>
          <t>2775-319</t>
        </is>
      </c>
      <c r="D581" s="2" t="inlineStr">
        <is>
          <t>Спикерфон Jabra Speak2 75, MS Teams, Link  380a</t>
        </is>
      </c>
      <c r="E581" s="2">
        <v>4</v>
      </c>
      <c r="F581" s="2">
        <v>4</v>
      </c>
      <c r="H581" s="2">
        <v>332</v>
      </c>
      <c r="I581" s="2" t="inlineStr">
        <is>
          <t>$</t>
        </is>
      </c>
      <c r="J581" s="2">
        <f>HYPERLINK("https://app.astro.lead-studio.pro/product/137abce0-a9f6-4d4e-b1c4-768374bea6cb")</f>
      </c>
    </row>
    <row r="582" spans="1:10" customHeight="0">
      <c r="A582" s="2" t="inlineStr">
        <is>
          <t>Оборудование для аудио- и видеоконференций</t>
        </is>
      </c>
      <c r="B582" s="2" t="inlineStr">
        <is>
          <t>Jabra</t>
        </is>
      </c>
      <c r="C582" s="2" t="inlineStr">
        <is>
          <t>7810-109</t>
        </is>
      </c>
      <c r="D582" s="2" t="inlineStr">
        <is>
          <t>Спикерфон Jabra Спикерфон Jabra Speak 810 MS / Bluetooth / USB-A / (018448)  </t>
        </is>
      </c>
      <c r="E582" s="2">
        <v>10</v>
      </c>
      <c r="F582" s="2">
        <v>10</v>
      </c>
      <c r="H582" s="2">
        <v>580</v>
      </c>
      <c r="I582" s="2" t="inlineStr">
        <is>
          <t>$</t>
        </is>
      </c>
      <c r="J582" s="2">
        <f>HYPERLINK("https://app.astro.lead-studio.pro/product/863ee4e3-c0e1-43d3-bc42-09d48949a556")</f>
      </c>
    </row>
    <row r="583" spans="1:10" customHeight="0">
      <c r="A583" s="2" t="inlineStr">
        <is>
          <t>Оборудование для аудио- и видеоконференций</t>
        </is>
      </c>
      <c r="B583" s="2" t="inlineStr">
        <is>
          <t>Jabra</t>
        </is>
      </c>
      <c r="C583" s="2" t="inlineStr">
        <is>
          <t>7810-209</t>
        </is>
      </c>
      <c r="D583" s="2" t="inlineStr">
        <is>
          <t>Спикерфон Jabra Спикерфон Jabra Speak 810 UC / Bluetooth / USB-A / (018455)</t>
        </is>
      </c>
      <c r="E583" s="2">
        <v>10</v>
      </c>
      <c r="F583" s="2">
        <v>10</v>
      </c>
      <c r="H583" s="2">
        <v>575</v>
      </c>
      <c r="I583" s="2" t="inlineStr">
        <is>
          <t>$</t>
        </is>
      </c>
      <c r="J583" s="2">
        <f>HYPERLINK("https://app.astro.lead-studio.pro/product/927a057f-3b16-40f8-82ba-d8cab1fa2e5e")</f>
      </c>
    </row>
    <row r="584" spans="1:10" customHeight="0">
      <c r="A584" s="2" t="inlineStr">
        <is>
          <t>Камеры видеонаблюдения и аксессуары</t>
        </is>
      </c>
      <c r="B584" s="2" t="inlineStr">
        <is>
          <t>Ubiquiti</t>
        </is>
      </c>
      <c r="C584" s="2" t="inlineStr">
        <is>
          <t>UVC-Al-360</t>
        </is>
      </c>
      <c r="D584" s="2" t="inlineStr">
        <is>
          <t>Камера видеонаблюдения Ubiquiti Ubiquiti UniFi Protect Camera AI Bullet Видеокамера 4MP, 30 к/с</t>
        </is>
      </c>
      <c r="E584" s="2">
        <v>30</v>
      </c>
      <c r="F584" s="2">
        <v>30</v>
      </c>
      <c r="H584" s="2">
        <v>731</v>
      </c>
      <c r="I584" s="2" t="inlineStr">
        <is>
          <t>$</t>
        </is>
      </c>
      <c r="J584" s="2">
        <f>HYPERLINK("https://app.astro.lead-studio.pro/product/f5595421-93bb-47af-8ae2-d90805922e6c")</f>
      </c>
    </row>
    <row r="585" spans="1:10" customHeight="0">
      <c r="A585" s="2" t="inlineStr">
        <is>
          <t>Камеры видеонаблюдения и аксессуары</t>
        </is>
      </c>
      <c r="B585" s="2" t="inlineStr">
        <is>
          <t>Ubiquiti</t>
        </is>
      </c>
      <c r="C585" s="2" t="inlineStr">
        <is>
          <t>UVC-G3-PRO</t>
        </is>
      </c>
      <c r="D585" s="2" t="inlineStr">
        <is>
          <t>Камера видеонаблюдения Ubiquiti UniFi Video Camera G3 Pro видеокамера 1080p, 30 FPS, EFL 3-9 мм, f/1.2 - f/2.1</t>
        </is>
      </c>
      <c r="E585" s="2">
        <v>5</v>
      </c>
      <c r="F585" s="2">
        <v>5</v>
      </c>
      <c r="H585" s="2">
        <v>461</v>
      </c>
      <c r="I585" s="2" t="inlineStr">
        <is>
          <t>$</t>
        </is>
      </c>
      <c r="J585" s="2">
        <f>HYPERLINK("https://app.astro.lead-studio.pro/product/285da903-6656-4a7e-b747-affc0593a206")</f>
      </c>
    </row>
    <row r="586" spans="1:10" customHeight="0">
      <c r="A586" s="2" t="inlineStr">
        <is>
          <t>Камеры видеонаблюдения и аксессуары</t>
        </is>
      </c>
      <c r="B586" s="2" t="inlineStr">
        <is>
          <t>Ubiquiti</t>
        </is>
      </c>
      <c r="C586" s="2" t="inlineStr">
        <is>
          <t>UVC-G4-BULLET</t>
        </is>
      </c>
      <c r="D586" s="2" t="inlineStr">
        <is>
          <t>Камера видеонаблюдения Ubiquiti UniFi Protect Camera G4 Bullet </t>
        </is>
      </c>
      <c r="E586" s="2">
        <v>10</v>
      </c>
      <c r="F586" s="2">
        <v>10</v>
      </c>
      <c r="H586" s="2">
        <v>328</v>
      </c>
      <c r="I586" s="2" t="inlineStr">
        <is>
          <t>$</t>
        </is>
      </c>
      <c r="J586" s="2">
        <f>HYPERLINK("https://app.astro.lead-studio.pro/product/1d8c0f56-40ed-4e7f-990d-bc3a330bfb10")</f>
      </c>
    </row>
    <row r="587" spans="1:10" customHeight="0">
      <c r="A587" s="2" t="inlineStr">
        <is>
          <t>Камеры видеонаблюдения и аксессуары</t>
        </is>
      </c>
      <c r="B587" s="2" t="inlineStr">
        <is>
          <t>Ubiquiti</t>
        </is>
      </c>
      <c r="C587" s="2" t="inlineStr">
        <is>
          <t>UVC-G4-PRO</t>
        </is>
      </c>
      <c r="D587" s="2" t="inlineStr">
        <is>
          <t>Камера видеонаблюдения Ubiquiti UniFi Video Camera G4 Pro видеокамера 4K Ultra HD, 24 к/с, F 4.24 - 12.66 мм, f/1.53-f/3.3</t>
        </is>
      </c>
      <c r="E587" s="2">
        <v>5</v>
      </c>
      <c r="F587" s="2">
        <v>5</v>
      </c>
      <c r="H587" s="2">
        <v>683</v>
      </c>
      <c r="I587" s="2" t="inlineStr">
        <is>
          <t>$</t>
        </is>
      </c>
      <c r="J587" s="2">
        <f>HYPERLINK("https://app.astro.lead-studio.pro/product/076502a3-ba58-4005-9a42-b98f529e3cc3")</f>
      </c>
    </row>
    <row r="588" spans="1:10" customHeight="0">
      <c r="A588" s="2" t="inlineStr">
        <is>
          <t>Камеры видеонаблюдения и аксессуары</t>
        </is>
      </c>
      <c r="B588" s="2" t="inlineStr">
        <is>
          <t>Ubiquiti</t>
        </is>
      </c>
      <c r="C588" s="2" t="inlineStr">
        <is>
          <t>UVC-G5-Pro</t>
        </is>
      </c>
      <c r="D588" s="2" t="inlineStr">
        <is>
          <t>Камера видеонаблюдения  UniFi Protect Camera G5 Pro Видеокамера 4K (8MP), 30 к/с, ƒ/1,53–ƒ/3,3, 3х оптический зум, ИК-подсветка до 25 м</t>
        </is>
      </c>
      <c r="E588" s="2">
        <v>2</v>
      </c>
      <c r="F588" s="2">
        <v>2</v>
      </c>
      <c r="H588" s="2">
        <v>702</v>
      </c>
      <c r="I588" s="2" t="inlineStr">
        <is>
          <t>$</t>
        </is>
      </c>
      <c r="J588" s="2">
        <f>HYPERLINK("https://app.astro.lead-studio.pro/product/78f3b461-ead2-44e4-8309-95b419599036")</f>
      </c>
    </row>
    <row r="589" spans="1:10" customHeight="0">
      <c r="A589" s="2" t="inlineStr">
        <is>
          <t>Умный дом</t>
        </is>
      </c>
      <c r="B589" s="2" t="inlineStr">
        <is>
          <t>Aqara</t>
        </is>
      </c>
      <c r="C589" s="2" t="inlineStr">
        <is>
          <t>EL-D02D_bl</t>
        </is>
      </c>
      <c r="D589" s="2" t="inlineStr">
        <is>
          <t>Умный дверной замок Aqara U200 Matter other Thread , черный ( EL-D02D_bl) </t>
        </is>
      </c>
      <c r="E589" s="2">
        <v>3</v>
      </c>
      <c r="F589" s="2">
        <v>3</v>
      </c>
      <c r="H589" s="2">
        <v>468</v>
      </c>
      <c r="I589" s="2" t="inlineStr">
        <is>
          <t>$</t>
        </is>
      </c>
      <c r="J589" s="2">
        <f>HYPERLINK("https://app.astro.lead-studio.pro/product/bef27f6c-4273-4118-aca2-ce545b46804e")</f>
      </c>
    </row>
    <row r="590" spans="1:10" customHeight="0">
      <c r="A590" s="2" t="inlineStr">
        <is>
          <t>Умный дом</t>
        </is>
      </c>
      <c r="B590" s="2" t="inlineStr">
        <is>
          <t>Aqara</t>
        </is>
      </c>
      <c r="C590" s="2" t="inlineStr">
        <is>
          <t>EL-D02D_gr</t>
        </is>
      </c>
      <c r="D590" s="2" t="inlineStr">
        <is>
          <t>Умный дверной замок Aqara U200 Matter other Thread , серый (EL-D02D_gr) </t>
        </is>
      </c>
      <c r="E590" s="2">
        <v>2</v>
      </c>
      <c r="F590" s="2">
        <v>2</v>
      </c>
      <c r="H590" s="2">
        <v>473</v>
      </c>
      <c r="I590" s="2" t="inlineStr">
        <is>
          <t>$</t>
        </is>
      </c>
      <c r="J590" s="2">
        <f>HYPERLINK("https://app.astro.lead-studio.pro/product/c7757658-6781-4835-b1e1-6911768fc213")</f>
      </c>
    </row>
    <row r="591" spans="1:10" customHeight="0">
      <c r="A591" s="2" t="inlineStr">
        <is>
          <t>Умный дом</t>
        </is>
      </c>
      <c r="B591" s="2" t="inlineStr">
        <is>
          <t>Aqara</t>
        </is>
      </c>
      <c r="C591" s="2" t="inlineStr">
        <is>
          <t>ZNMS16LM</t>
        </is>
      </c>
      <c r="D591" s="2" t="inlineStr">
        <is>
          <t>Умный дом Aqara Умный дверной замок Aqara Door lock N100 ZNMS16LM (214361)</t>
        </is>
      </c>
      <c r="E591" s="2">
        <v>1</v>
      </c>
      <c r="F591" s="2">
        <v>1</v>
      </c>
      <c r="H591" s="2">
        <v>364</v>
      </c>
      <c r="I591" s="2" t="inlineStr">
        <is>
          <t>$</t>
        </is>
      </c>
      <c r="J591" s="2">
        <f>HYPERLINK("https://app.astro.lead-studio.pro/product/21754fee-7b16-4185-81b5-f23248f89c5a")</f>
      </c>
    </row>
    <row r="592" spans="1:10" customHeight="0">
      <c r="A592" s="2" t="inlineStr">
        <is>
          <t>Умный дом</t>
        </is>
      </c>
      <c r="B592" s="2" t="inlineStr">
        <is>
          <t>Aqara</t>
        </is>
      </c>
      <c r="C592" s="2" t="inlineStr">
        <is>
          <t>ZNMS20LM</t>
        </is>
      </c>
      <c r="D592" s="2" t="inlineStr">
        <is>
          <t>Умный дверной замок Aqara Aqara Door Lock D100 Zigbee</t>
        </is>
      </c>
      <c r="E592" s="2">
        <v>34</v>
      </c>
      <c r="F592" s="2">
        <v>34</v>
      </c>
      <c r="H592" s="2">
        <v>689</v>
      </c>
      <c r="I592" s="2" t="inlineStr">
        <is>
          <t>$</t>
        </is>
      </c>
      <c r="J592" s="2">
        <f>HYPERLINK("https://app.astro.lead-studio.pro/product/a082a986-f2a1-4cc5-adbd-a2da6fadea60")</f>
      </c>
    </row>
    <row r="593" spans="1:10" customHeight="0">
      <c r="A593" s="2" t="inlineStr">
        <is>
          <t>Умный дом</t>
        </is>
      </c>
      <c r="B593" s="2" t="inlineStr">
        <is>
          <t>JBL</t>
        </is>
      </c>
      <c r="C593" s="2" t="inlineStr">
        <is>
          <t>JBLAUTH200BLKUK</t>
        </is>
      </c>
      <c r="D593" s="2" t="inlineStr">
        <is>
          <t>JBL Колонка Authentics 200 Black</t>
        </is>
      </c>
      <c r="E593" s="2">
        <v>1</v>
      </c>
      <c r="F593" s="2">
        <v>1</v>
      </c>
      <c r="H593" s="2">
        <v>348</v>
      </c>
      <c r="I593" s="2" t="inlineStr">
        <is>
          <t>$</t>
        </is>
      </c>
      <c r="J593" s="2">
        <f>HYPERLINK("https://app.astro.lead-studio.pro/product/b1bd75e3-b8fb-4f8a-8c92-229a7ff4772d")</f>
      </c>
    </row>
    <row r="594" spans="1:10" customHeight="0">
      <c r="A594" s="2" t="inlineStr">
        <is>
          <t>Crusader</t>
        </is>
      </c>
      <c r="B594" s="2" t="inlineStr">
        <is>
          <t>3Logic Crusader</t>
        </is>
      </c>
      <c r="C594" s="2" t="inlineStr">
        <is>
          <t>420R105343</t>
        </is>
      </c>
      <c r="D594" s="2" t="inlineStr">
        <is>
          <t>Сервер 3Logic Crusader Squire 420R (Rack 2U, Silver 4210R (10 cores 2.40/3.20 GHz 13.75 MB), 1x32GB RDIMM DDR4-2933, NoHDD, 2x10GbE SFP+, 2x1GbE, 1x550W, xFusion 2288H V5)</t>
        </is>
      </c>
      <c r="E594" s="2">
        <v>100</v>
      </c>
      <c r="F594" s="2">
        <v>100</v>
      </c>
      <c r="H594" s="2">
        <v>2467</v>
      </c>
      <c r="I594" s="2" t="inlineStr">
        <is>
          <t>$</t>
        </is>
      </c>
      <c r="J594" s="2">
        <f>HYPERLINK("https://app.astro.lead-studio.pro/product/8084d0e9-5657-4e67-93e9-83778364260f")</f>
      </c>
    </row>
    <row r="595" spans="1:10" customHeight="0">
      <c r="A595" s="2" t="inlineStr">
        <is>
          <t>Crusader</t>
        </is>
      </c>
      <c r="B595" s="2" t="inlineStr">
        <is>
          <t>Crusader</t>
        </is>
      </c>
      <c r="C595" s="2" t="inlineStr">
        <is>
          <t>420R116380</t>
        </is>
      </c>
      <c r="D595" s="2" t="inlineStr">
        <is>
          <t>Сервер Crusader Squire 420R (Rack 2U, 2x4210R, 4x16GB DDR4-3200 Reg., 2x550W, 2x240GB SSD SATA (up to 8x2.5» SAS/SATA), LSI9361-8i(2G)+CVM, 2x10GbE SFP+, 2x1GbE, xFusion 2288H V5)</t>
        </is>
      </c>
      <c r="E595" s="2">
        <v>1</v>
      </c>
      <c r="F595" s="2">
        <v>1</v>
      </c>
      <c r="H595" s="2">
        <v>5638</v>
      </c>
      <c r="I595" s="2" t="inlineStr">
        <is>
          <t>$</t>
        </is>
      </c>
      <c r="J595" s="2">
        <f>HYPERLINK("https://app.astro.lead-studio.pro/product/71a66483-511a-48ef-a34c-b087431cc3ff")</f>
      </c>
    </row>
    <row r="596" spans="1:10" customHeight="0">
      <c r="A596" s="2" t="inlineStr">
        <is>
          <t>Гравитон (Серверы)</t>
        </is>
      </c>
      <c r="B596" s="2" t="inlineStr">
        <is>
          <t>Гравитон</t>
        </is>
      </c>
      <c r="C596" s="2" t="inlineStr">
        <is>
          <t>C2041И _150045</t>
        </is>
      </c>
      <c r="D596" s="2" t="inlineStr">
        <is>
          <t>Сервер Гравитон C2041И  2xS4214R-2xPH165W1-4x16GD4-4x2TB7,2R3T-1x2P10GSFP-1xSTR-450W2-3YST</t>
        </is>
      </c>
      <c r="E596" s="2">
        <v>16</v>
      </c>
      <c r="F596" s="2">
        <v>16</v>
      </c>
      <c r="H596" s="2">
        <v>22612</v>
      </c>
      <c r="I596" s="2" t="inlineStr">
        <is>
          <t>$</t>
        </is>
      </c>
      <c r="J596" s="2">
        <f>HYPERLINK("https://app.astro.lead-studio.pro/product/0e3e4d57-eafa-4bcb-8887-46f52d49dd88")</f>
      </c>
    </row>
    <row r="597" spans="1:10" customHeight="0">
      <c r="A597" s="2" t="inlineStr">
        <is>
          <t>Гравитон (Серверы)</t>
        </is>
      </c>
      <c r="B597" s="2" t="inlineStr">
        <is>
          <t>Гравитон</t>
        </is>
      </c>
      <c r="C597" s="2" t="inlineStr">
        <is>
          <t>C2082И_150041</t>
        </is>
      </c>
      <c r="D597" s="2" t="inlineStr">
        <is>
          <t>Сервер Гравитон C2082И 2xS4214R-2xPH165W2-4x16GD4-4x2TB7,2R3T-1x2P10GSFP-1xSTR-800W2-3YST</t>
        </is>
      </c>
      <c r="E597" s="2">
        <v>17</v>
      </c>
      <c r="F597" s="2">
        <v>17</v>
      </c>
      <c r="H597" s="2">
        <v>25141</v>
      </c>
      <c r="I597" s="2" t="inlineStr">
        <is>
          <t>$</t>
        </is>
      </c>
      <c r="J597" s="2">
        <f>HYPERLINK("https://app.astro.lead-studio.pro/product/69f500ff-8fe1-4a3a-bf03-853105bb4723")</f>
      </c>
    </row>
    <row r="598" spans="1:10" customHeight="0">
      <c r="A598" s="2" t="inlineStr">
        <is>
          <t>Сервера А Бренд (HP, DELL, Lenovo и Другие)</t>
        </is>
      </c>
      <c r="B598" s="2" t="inlineStr">
        <is>
          <t>SuperMicro</t>
        </is>
      </c>
      <c r="C598" s="2" t="inlineStr">
        <is>
          <t>VFG-SYS-1029U-TR4-458</t>
        </is>
      </c>
      <c r="D598" s="2" t="inlineStr">
        <is>
          <t>Сервер SuperMicro Сервер в составе SYS-1029U-TR4_conf2 1х SYS-1029U-TR4 2х P4X-CLX6242R-SRGZJ 4х MEM-DR480L-CL05-ER32</t>
        </is>
      </c>
      <c r="E598" s="2">
        <v>1</v>
      </c>
      <c r="F598" s="2">
        <v>1</v>
      </c>
      <c r="H598" s="2">
        <v>11948</v>
      </c>
      <c r="I598" s="2" t="inlineStr">
        <is>
          <t>$</t>
        </is>
      </c>
      <c r="J598" s="2">
        <f>HYPERLINK("https://app.astro.lead-studio.pro/product/4b185e5f-c269-42e8-8904-0ce8e268883e")</f>
      </c>
    </row>
    <row r="599" spans="1:10" customHeight="0">
      <c r="A599" s="2" t="inlineStr">
        <is>
          <t>Аксессуары для видеокарт</t>
        </is>
      </c>
      <c r="B599" s="2" t="inlineStr">
        <is>
          <t>NVIDIA</t>
        </is>
      </c>
      <c r="C599" s="2" t="inlineStr">
        <is>
          <t>900-52951-2500-000</t>
        </is>
      </c>
      <c r="D599" s="2" t="inlineStr">
        <is>
          <t>Кабель NVIDIA NVLINK BRIGDE (P2951-A02), 2-WAY BOX 900-52951-2500-000</t>
        </is>
      </c>
      <c r="E599" s="2">
        <v>1</v>
      </c>
      <c r="F599" s="2">
        <v>1</v>
      </c>
      <c r="H599" s="2">
        <v>694</v>
      </c>
      <c r="I599" s="2" t="inlineStr">
        <is>
          <t>$</t>
        </is>
      </c>
      <c r="J599" s="2">
        <f>HYPERLINK("https://app.astro.lead-studio.pro/product/aa83f5a1-5e70-4722-b6af-529023328d95")</f>
      </c>
    </row>
    <row r="600" spans="1:10" customHeight="0">
      <c r="A600" s="2" t="inlineStr">
        <is>
          <t>Блоки питания для ПК</t>
        </is>
      </c>
      <c r="B600" s="2" t="inlineStr">
        <is>
          <t>Gigabyte</t>
        </is>
      </c>
      <c r="C600" s="2" t="inlineStr">
        <is>
          <t>GP-AP1200PM</t>
        </is>
      </c>
      <c r="D600" s="2" t="inlineStr">
        <is>
          <t>Блок питания Gigabyte AP1200PM  1200W, 80Plus Platinum (GP-AP1200PM)</t>
        </is>
      </c>
      <c r="E600" s="2">
        <v>100</v>
      </c>
      <c r="F600" s="2">
        <v>100</v>
      </c>
      <c r="H600" s="2">
        <v>340</v>
      </c>
      <c r="I600" s="2" t="inlineStr">
        <is>
          <t>$</t>
        </is>
      </c>
      <c r="J600" s="2">
        <f>HYPERLINK("https://app.astro.lead-studio.pro/product/3c907cfc-6f1d-48d5-8934-440f3f3bae7d")</f>
      </c>
    </row>
    <row r="601" spans="1:10" customHeight="0">
      <c r="A601" s="2" t="inlineStr">
        <is>
          <t>Блоки питания для ПК</t>
        </is>
      </c>
      <c r="B601" s="2" t="inlineStr">
        <is>
          <t>Thermaltake</t>
        </is>
      </c>
      <c r="C601" s="2" t="inlineStr">
        <is>
          <t>PS-TPI-1250F3FDTE-1</t>
        </is>
      </c>
      <c r="D601" s="2" t="inlineStr">
        <is>
          <t>Блок питания Thermaltake Toughpower iRGB PLUS 1250W Titanium /1250W/Fully Modular/Riing Duo/Full Range/Digital/80 Plus Titanium/EU/106% JP CAP/All Flat Cables</t>
        </is>
      </c>
      <c r="E601" s="2">
        <v>100</v>
      </c>
      <c r="F601" s="2">
        <v>100</v>
      </c>
      <c r="H601" s="2">
        <v>372</v>
      </c>
      <c r="I601" s="2" t="inlineStr">
        <is>
          <t>$</t>
        </is>
      </c>
      <c r="J601" s="2">
        <f>HYPERLINK("https://app.astro.lead-studio.pro/product/6eb93b0f-b2ef-4b42-8b52-95c9093102b7")</f>
      </c>
    </row>
    <row r="602" spans="1:10" customHeight="0">
      <c r="A602" s="2" t="inlineStr">
        <is>
          <t>Блоки питания для ПК</t>
        </is>
      </c>
      <c r="B602" s="2" t="inlineStr">
        <is>
          <t>Deepcool</t>
        </is>
      </c>
      <c r="C602" s="2" t="inlineStr">
        <is>
          <t>R-PXD00P-FC0B-EU</t>
        </is>
      </c>
      <c r="D602" s="2" t="inlineStr">
        <is>
          <t>Блок питания Deepcool PX1300P </t>
        </is>
      </c>
      <c r="E602" s="2">
        <v>100</v>
      </c>
      <c r="F602" s="2">
        <v>100</v>
      </c>
      <c r="H602" s="2">
        <v>368</v>
      </c>
      <c r="I602" s="2" t="inlineStr">
        <is>
          <t>$</t>
        </is>
      </c>
      <c r="J602" s="2">
        <f>HYPERLINK("https://app.astro.lead-studio.pro/product/4b40782b-3ab2-47a8-b220-234798ca608e")</f>
      </c>
    </row>
    <row r="603" spans="1:10" customHeight="0">
      <c r="A603" s="2" t="inlineStr">
        <is>
          <t>Блоки питания для ПК</t>
        </is>
      </c>
      <c r="B603" s="2" t="inlineStr">
        <is>
          <t>XPG</t>
        </is>
      </c>
      <c r="C603" s="2" t="inlineStr">
        <is>
          <t>FUSION1600T-BKCEU</t>
        </is>
      </c>
      <c r="D603" s="2" t="inlineStr">
        <is>
          <t>Блок питания XPG FUSION 1600 TITANIUM </t>
        </is>
      </c>
      <c r="E603" s="2">
        <v>100</v>
      </c>
      <c r="F603" s="2">
        <v>100</v>
      </c>
      <c r="H603" s="2">
        <v>589</v>
      </c>
      <c r="I603" s="2" t="inlineStr">
        <is>
          <t>$</t>
        </is>
      </c>
      <c r="J603" s="2">
        <f>HYPERLINK("https://app.astro.lead-studio.pro/product/941b1a18-8864-4759-beb1-d4d8a08f7f30")</f>
      </c>
    </row>
    <row r="604" spans="1:10" customHeight="0">
      <c r="A604" s="2" t="inlineStr">
        <is>
          <t>Блоки питания для ПК</t>
        </is>
      </c>
      <c r="B604" s="2" t="inlineStr">
        <is>
          <t>Silverstone</t>
        </is>
      </c>
      <c r="C604" s="2" t="inlineStr">
        <is>
          <t>G540GM500S00210</t>
        </is>
      </c>
      <c r="D604" s="2" t="inlineStr">
        <is>
          <t>Блок питания Silverstone G540GM500S00210 80 PLUS Silver 500W mini redundant power supply</t>
        </is>
      </c>
      <c r="E604" s="2">
        <v>1</v>
      </c>
      <c r="F604" s="2">
        <v>1</v>
      </c>
      <c r="H604" s="2">
        <v>584</v>
      </c>
      <c r="I604" s="2" t="inlineStr">
        <is>
          <t>$</t>
        </is>
      </c>
      <c r="J604" s="2">
        <f>HYPERLINK("https://app.astro.lead-studio.pro/product/50340fd8-d904-456b-a731-67d376e8f052")</f>
      </c>
    </row>
    <row r="605" spans="1:10" customHeight="0">
      <c r="A605" s="2" t="inlineStr">
        <is>
          <t>Блоки питания для ПК</t>
        </is>
      </c>
      <c r="B605" s="2" t="inlineStr">
        <is>
          <t>Silverstone</t>
        </is>
      </c>
      <c r="C605" s="2" t="inlineStr">
        <is>
          <t>G540GM600S00210</t>
        </is>
      </c>
      <c r="D605" s="2" t="inlineStr">
        <is>
          <t>Блок питания Silverstone G540GM600S00210 Cybenetics Silver 600W mini redundant power supply Cybenetics Silver 600W mini redundant power supply</t>
        </is>
      </c>
      <c r="E605" s="2">
        <v>1</v>
      </c>
      <c r="F605" s="2">
        <v>1</v>
      </c>
      <c r="H605" s="2">
        <v>790</v>
      </c>
      <c r="I605" s="2" t="inlineStr">
        <is>
          <t>$</t>
        </is>
      </c>
      <c r="J605" s="2">
        <f>HYPERLINK("https://app.astro.lead-studio.pro/product/62370016-bdc1-4bd8-a52d-65e5d5a39220")</f>
      </c>
    </row>
    <row r="606" spans="1:10" customHeight="0">
      <c r="A606" s="2" t="inlineStr">
        <is>
          <t>Блоки питания для ПК</t>
        </is>
      </c>
      <c r="B606" s="2" t="inlineStr">
        <is>
          <t>Silverstone</t>
        </is>
      </c>
      <c r="C606" s="2" t="inlineStr">
        <is>
          <t>G540GM8002UG211</t>
        </is>
      </c>
      <c r="D606" s="2" t="inlineStr">
        <is>
          <t>Блок питания Silverstone G540GM8002UG211 </t>
        </is>
      </c>
      <c r="E606" s="2">
        <v>1</v>
      </c>
      <c r="F606" s="2">
        <v>1</v>
      </c>
      <c r="H606" s="2">
        <v>907</v>
      </c>
      <c r="I606" s="2" t="inlineStr">
        <is>
          <t>$</t>
        </is>
      </c>
      <c r="J606" s="2">
        <f>HYPERLINK("https://app.astro.lead-studio.pro/product/a9f10829-0f9f-421f-b518-0b744ec5e07f")</f>
      </c>
    </row>
    <row r="607" spans="1:10" customHeight="0">
      <c r="A607" s="2" t="inlineStr">
        <is>
          <t>Видеозахват и оборудование для стрима</t>
        </is>
      </c>
      <c r="B607" s="2" t="inlineStr">
        <is>
          <t>Matrox</t>
        </is>
      </c>
      <c r="C607" s="2" t="inlineStr">
        <is>
          <t>MHDX/I</t>
        </is>
      </c>
      <c r="D607" s="2" t="inlineStr">
        <is>
          <t>Устройство видеозахвата внешнее Matrox Monarch HDX (MHDX/I) Dual-Channel H.264 Encoder</t>
        </is>
      </c>
      <c r="E607" s="2">
        <v>4</v>
      </c>
      <c r="F607" s="2">
        <v>4</v>
      </c>
      <c r="H607" s="2">
        <v>1320</v>
      </c>
      <c r="I607" s="2" t="inlineStr">
        <is>
          <t>$</t>
        </is>
      </c>
      <c r="J607" s="2">
        <f>HYPERLINK("https://app.astro.lead-studio.pro/product/ef1435b8-850b-4aea-9872-869464db3e80")</f>
      </c>
    </row>
    <row r="608" spans="1:10" customHeight="0">
      <c r="A608" s="2" t="inlineStr">
        <is>
          <t>Видеозахват и оборудование для стрима</t>
        </is>
      </c>
      <c r="B608" s="2" t="inlineStr">
        <is>
          <t>Matrox</t>
        </is>
      </c>
      <c r="C608" s="2" t="inlineStr">
        <is>
          <t>MHLCS/I</t>
        </is>
      </c>
      <c r="D608" s="2" t="inlineStr">
        <is>
          <t>Устройство видеозахвата внешнее Matrox Monarch LCS Lecture Capture (MHLCS/I)</t>
        </is>
      </c>
      <c r="E608" s="2">
        <v>4</v>
      </c>
      <c r="F608" s="2">
        <v>4</v>
      </c>
      <c r="H608" s="2">
        <v>2644</v>
      </c>
      <c r="I608" s="2" t="inlineStr">
        <is>
          <t>$</t>
        </is>
      </c>
      <c r="J608" s="2">
        <f>HYPERLINK("https://app.astro.lead-studio.pro/product/6b68505a-f6b1-4e08-bc99-045a1d203455")</f>
      </c>
    </row>
    <row r="609" spans="1:10" customHeight="0">
      <c r="A609" s="2" t="inlineStr">
        <is>
          <t>Видеозахват и оборудование для стрима</t>
        </is>
      </c>
      <c r="B609" s="2" t="inlineStr">
        <is>
          <t>Matrox</t>
        </is>
      </c>
      <c r="C609" s="2" t="inlineStr">
        <is>
          <t>VS4</t>
        </is>
      </c>
      <c r="D609" s="2" t="inlineStr">
        <is>
          <t>Устройство видеозахвата внешнее Matrox VS4 Quad HD Capture Card</t>
        </is>
      </c>
      <c r="E609" s="2">
        <v>1</v>
      </c>
      <c r="F609" s="2">
        <v>1</v>
      </c>
      <c r="H609" s="2">
        <v>1242</v>
      </c>
      <c r="I609" s="2" t="inlineStr">
        <is>
          <t>$</t>
        </is>
      </c>
      <c r="J609" s="2">
        <f>HYPERLINK("https://app.astro.lead-studio.pro/product/c732730a-e430-4cec-8520-58a7371bb3f6")</f>
      </c>
    </row>
    <row r="610" spans="1:10" customHeight="0">
      <c r="A610" s="2" t="inlineStr">
        <is>
          <t>Видеокарты</t>
        </is>
      </c>
      <c r="B610" s="2" t="inlineStr">
        <is>
          <t>Sapphire</t>
        </is>
      </c>
      <c r="C610" s="2" t="inlineStr">
        <is>
          <t>11322-02-20G</t>
        </is>
      </c>
      <c r="D610" s="2" t="inlineStr">
        <is>
          <t>Видеокарта Sapphire RX7900XTX GAMING OC 24GB GDDR6 HDMIx2 DPx2 LITE</t>
        </is>
      </c>
      <c r="E610" s="2">
        <v>1</v>
      </c>
      <c r="F610" s="2">
        <v>1</v>
      </c>
      <c r="H610" s="2">
        <v>1328</v>
      </c>
      <c r="I610" s="2" t="inlineStr">
        <is>
          <t>$</t>
        </is>
      </c>
      <c r="J610" s="2">
        <f>HYPERLINK("https://app.astro.lead-studio.pro/product/34f1004f-9f8b-4c57-ac69-28b07a5135ba")</f>
      </c>
    </row>
    <row r="611" spans="1:10" customHeight="0">
      <c r="A611" s="2" t="inlineStr">
        <is>
          <t>Видеокарты</t>
        </is>
      </c>
      <c r="B611" s="2" t="inlineStr">
        <is>
          <t>ASUS</t>
        </is>
      </c>
      <c r="C611" s="2" t="inlineStr">
        <is>
          <t>90YV0IG0-M0NA00</t>
        </is>
      </c>
      <c r="D611" s="2" t="inlineStr">
        <is>
          <t>Видеокарта ASUS TUF-RX7900XTX-O24G-GAMING /RX7900XTX,HDMI*1,DP*3,24G,D6</t>
        </is>
      </c>
      <c r="E611" s="2">
        <v>1</v>
      </c>
      <c r="F611" s="2">
        <v>1</v>
      </c>
      <c r="H611" s="2">
        <v>1476</v>
      </c>
      <c r="I611" s="2" t="inlineStr">
        <is>
          <t>$</t>
        </is>
      </c>
      <c r="J611" s="2">
        <f>HYPERLINK("https://app.astro.lead-studio.pro/product/b1668e46-25a5-4f62-984e-9d0b68113faa")</f>
      </c>
    </row>
    <row r="612" spans="1:10" customHeight="0">
      <c r="A612" s="2" t="inlineStr">
        <is>
          <t>Видеокарты</t>
        </is>
      </c>
      <c r="B612" s="2" t="inlineStr">
        <is>
          <t>ASUS</t>
        </is>
      </c>
      <c r="C612" s="2" t="inlineStr">
        <is>
          <t>90YV0IH2-M0NA00</t>
        </is>
      </c>
      <c r="D612" s="2" t="inlineStr">
        <is>
          <t>Видеокарта ASUS DUAL-RX7600-O8G-V2 /RX7600,HDMI,DP*3,8G,D6</t>
        </is>
      </c>
      <c r="E612" s="2">
        <v>64</v>
      </c>
      <c r="F612" s="2">
        <v>64</v>
      </c>
      <c r="H612" s="2">
        <v>366</v>
      </c>
      <c r="I612" s="2" t="inlineStr">
        <is>
          <t>$</t>
        </is>
      </c>
      <c r="J612" s="2">
        <f>HYPERLINK("https://app.astro.lead-studio.pro/product/76f8215e-b575-4bea-ad56-b5bfb9903775")</f>
      </c>
    </row>
    <row r="613" spans="1:10" customHeight="0">
      <c r="A613" s="2" t="inlineStr">
        <is>
          <t>Видеокарты</t>
        </is>
      </c>
      <c r="B613" s="2" t="inlineStr">
        <is>
          <t>ASUS</t>
        </is>
      </c>
      <c r="C613" s="2" t="inlineStr">
        <is>
          <t>90YV0K21-M0NA00</t>
        </is>
      </c>
      <c r="D613" s="2" t="inlineStr">
        <is>
          <t>Видеокарта ASUS DUAL-RX7600XT-O16G /RX7600XT,HDMI,DP*3,16G,D6</t>
        </is>
      </c>
      <c r="E613" s="2">
        <v>1</v>
      </c>
      <c r="F613" s="2">
        <v>1</v>
      </c>
      <c r="H613" s="2">
        <v>497</v>
      </c>
      <c r="I613" s="2" t="inlineStr">
        <is>
          <t>$</t>
        </is>
      </c>
      <c r="J613" s="2">
        <f>HYPERLINK("https://app.astro.lead-studio.pro/product/3770a82f-cf70-4410-a754-f2812a658b11")</f>
      </c>
    </row>
    <row r="614" spans="1:10" customHeight="0">
      <c r="A614" s="2" t="inlineStr">
        <is>
          <t>Видеокарты</t>
        </is>
      </c>
      <c r="B614" s="2" t="inlineStr">
        <is>
          <t>Acer</t>
        </is>
      </c>
      <c r="C614" s="2" t="inlineStr">
        <is>
          <t>DP.Z36WW.P02</t>
        </is>
      </c>
      <c r="D614" s="2" t="inlineStr">
        <is>
          <t>Видеокарта Acer RX7600 8GB OC Predator BiFrost HDMI DPx3 2FAN RTL </t>
        </is>
      </c>
      <c r="E614" s="2">
        <v>5</v>
      </c>
      <c r="F614" s="2">
        <v>5</v>
      </c>
      <c r="H614" s="2">
        <v>371</v>
      </c>
      <c r="I614" s="2" t="inlineStr">
        <is>
          <t>$</t>
        </is>
      </c>
      <c r="J614" s="2">
        <f>HYPERLINK("https://app.astro.lead-studio.pro/product/90928bfe-d34a-4eab-bcdf-0e7f1361b403")</f>
      </c>
    </row>
    <row r="615" spans="1:10" customHeight="0">
      <c r="A615" s="2" t="inlineStr">
        <is>
          <t>Видеокарты</t>
        </is>
      </c>
      <c r="B615" s="2" t="inlineStr">
        <is>
          <t>ASRock</t>
        </is>
      </c>
      <c r="C615" s="2" t="inlineStr">
        <is>
          <t>RX6600 CLD 8G</t>
        </is>
      </c>
      <c r="D615" s="2" t="inlineStr">
        <is>
          <t>Видеокарта ASRock RX6600 Challenger D 8GB GDDR6 128bit HDMI 3xDP, RTL {10} (935749)</t>
        </is>
      </c>
      <c r="E615" s="2">
        <v>20</v>
      </c>
      <c r="F615" s="2">
        <v>20</v>
      </c>
      <c r="H615" s="2">
        <v>324</v>
      </c>
      <c r="I615" s="2" t="inlineStr">
        <is>
          <t>$</t>
        </is>
      </c>
      <c r="J615" s="2">
        <f>HYPERLINK("https://app.astro.lead-studio.pro/product/b60bcfc2-25a7-46b5-83fa-2d24fe267370")</f>
      </c>
    </row>
    <row r="616" spans="1:10" customHeight="0">
      <c r="A616" s="2" t="inlineStr">
        <is>
          <t>Видеокарты</t>
        </is>
      </c>
      <c r="B616" s="2" t="inlineStr">
        <is>
          <t>PowerColor</t>
        </is>
      </c>
      <c r="C616" s="2" t="inlineStr">
        <is>
          <t>RX 7600 8G-F</t>
        </is>
      </c>
      <c r="D616" s="2" t="inlineStr">
        <is>
          <t>Видеокарта PowerColor RX7600 Fighter 8GB GDDR6 128-bit DPx3 HDMI 2FAN RTL </t>
        </is>
      </c>
      <c r="E616" s="2">
        <v>20</v>
      </c>
      <c r="F616" s="2">
        <v>20</v>
      </c>
      <c r="H616" s="2">
        <v>368</v>
      </c>
      <c r="I616" s="2" t="inlineStr">
        <is>
          <t>$</t>
        </is>
      </c>
      <c r="J616" s="2">
        <f>HYPERLINK("https://app.astro.lead-studio.pro/product/55d38af0-aaa0-4828-8798-6d8522befda6")</f>
      </c>
    </row>
    <row r="617" spans="1:10" customHeight="0">
      <c r="A617" s="2" t="inlineStr">
        <is>
          <t>Видеокарты</t>
        </is>
      </c>
      <c r="B617" s="2" t="inlineStr">
        <is>
          <t>ASRock</t>
        </is>
      </c>
      <c r="C617" s="2" t="inlineStr">
        <is>
          <t>RX7600XT CL 16GO</t>
        </is>
      </c>
      <c r="D617" s="2" t="inlineStr">
        <is>
          <t>Видеокарта ASRock RX7600XT Challenger 16GB OC GDDR6 128-Bit HDMI DPx3 2FAN RTL </t>
        </is>
      </c>
      <c r="E617" s="2">
        <v>1</v>
      </c>
      <c r="F617" s="2">
        <v>1</v>
      </c>
      <c r="H617" s="2">
        <v>471</v>
      </c>
      <c r="I617" s="2" t="inlineStr">
        <is>
          <t>$</t>
        </is>
      </c>
      <c r="J617" s="2">
        <f>HYPERLINK("https://app.astro.lead-studio.pro/product/b8ac2ac2-c85d-4741-b288-fdf31e0455b7")</f>
      </c>
    </row>
    <row r="618" spans="1:10" customHeight="0">
      <c r="A618" s="2" t="inlineStr">
        <is>
          <t>Видеокарты</t>
        </is>
      </c>
      <c r="B618" s="2" t="inlineStr">
        <is>
          <t>ASRock</t>
        </is>
      </c>
      <c r="C618" s="2" t="inlineStr">
        <is>
          <t>RX7900XT PGW 20GO||bp</t>
        </is>
      </c>
      <c r="D618" s="2" t="inlineStr">
        <is>
          <t>Видеокарта ASRock RX7900XT PGW 20GO 20GB GDDR6 320bit 3 x DisplayPort™ 2.1 / 1 x HDMI™ 2.1</t>
        </is>
      </c>
      <c r="E618" s="2">
        <v>1</v>
      </c>
      <c r="F618" s="2">
        <v>1</v>
      </c>
      <c r="H618" s="2">
        <v>1124</v>
      </c>
      <c r="I618" s="2" t="inlineStr">
        <is>
          <t>$</t>
        </is>
      </c>
      <c r="J618" s="2">
        <f>HYPERLINK("https://app.astro.lead-studio.pro/product/418206f2-98e1-4a0a-b955-4b25f7269330")</f>
      </c>
    </row>
    <row r="619" spans="1:10" customHeight="0">
      <c r="A619" s="2" t="inlineStr">
        <is>
          <t>Видеокарты</t>
        </is>
      </c>
      <c r="B619" s="2" t="inlineStr">
        <is>
          <t>ASRock</t>
        </is>
      </c>
      <c r="C619" s="2" t="inlineStr">
        <is>
          <t>RX7900XTX CT 24G</t>
        </is>
      </c>
      <c r="D619" s="2" t="inlineStr">
        <is>
          <t>Видеокарта ASRock RX7900XTX CREATOR 24GB GDDR6 384bit 3xDP HDMI BLOWER RTL</t>
        </is>
      </c>
      <c r="E619" s="2">
        <v>8</v>
      </c>
      <c r="F619" s="2">
        <v>8</v>
      </c>
      <c r="H619" s="2">
        <v>1383</v>
      </c>
      <c r="I619" s="2" t="inlineStr">
        <is>
          <t>$</t>
        </is>
      </c>
      <c r="J619" s="2">
        <f>HYPERLINK("https://app.astro.lead-studio.pro/product/9e6abe18-75a4-4d6b-afbb-1e5d443a2239")</f>
      </c>
    </row>
    <row r="620" spans="1:10" customHeight="0">
      <c r="A620" s="2" t="inlineStr">
        <is>
          <t>Видеокарты</t>
        </is>
      </c>
      <c r="B620" s="2" t="inlineStr">
        <is>
          <t>Gigabyte</t>
        </is>
      </c>
      <c r="C620" s="2" t="inlineStr">
        <is>
          <t>W7800 AI TOP 32G</t>
        </is>
      </c>
      <c r="D620" s="2" t="inlineStr">
        <is>
          <t>Видеокарта Gigabyte PRO W7800 AI TOP 32GB GDDR6 256bit mDP 3xDP BLOWER RTL</t>
        </is>
      </c>
      <c r="E620" s="2">
        <v>19</v>
      </c>
      <c r="F620" s="2">
        <v>19</v>
      </c>
      <c r="H620" s="2">
        <v>2715</v>
      </c>
      <c r="I620" s="2" t="inlineStr">
        <is>
          <t>$</t>
        </is>
      </c>
      <c r="J620" s="2">
        <f>HYPERLINK("https://app.astro.lead-studio.pro/product/526ebb11-f67c-4773-a09c-5bc4ba3e8f77")</f>
      </c>
    </row>
    <row r="621" spans="1:10" customHeight="0">
      <c r="A621" s="2" t="inlineStr">
        <is>
          <t>Видеокарты</t>
        </is>
      </c>
      <c r="B621" s="2" t="inlineStr">
        <is>
          <t>Gigabyte</t>
        </is>
      </c>
      <c r="C621" s="2" t="inlineStr">
        <is>
          <t>W7900 AI TOP 48G</t>
        </is>
      </c>
      <c r="D621" s="2" t="inlineStr">
        <is>
          <t>Видеокарта Gigabyte PRO W7900 DUAL SLOT AI TOP 48GB GDDR6 384bit mDP 3xDP BLOWER RTL</t>
        </is>
      </c>
      <c r="E621" s="2">
        <v>18</v>
      </c>
      <c r="F621" s="2">
        <v>18</v>
      </c>
      <c r="H621" s="2">
        <v>4911</v>
      </c>
      <c r="I621" s="2" t="inlineStr">
        <is>
          <t>$</t>
        </is>
      </c>
      <c r="J621" s="2">
        <f>HYPERLINK("https://app.astro.lead-studio.pro/product/83e42dce-6cf4-4355-9902-685e910d89c8")</f>
      </c>
    </row>
    <row r="622" spans="1:10" customHeight="0">
      <c r="A622" s="2" t="inlineStr">
        <is>
          <t>Видеокарты</t>
        </is>
      </c>
      <c r="B622" s="2" t="inlineStr">
        <is>
          <t>ASRock</t>
        </is>
      </c>
      <c r="C622" s="2" t="inlineStr">
        <is>
          <t>A750 CL SE 8GO</t>
        </is>
      </c>
      <c r="D622" s="2" t="inlineStr">
        <is>
          <t>Видеокарта ASRock Intel Arc A750 Challenger SE OC 8GB GDDR6 256bit 3xDP HDMI 2FAN RTL</t>
        </is>
      </c>
      <c r="E622" s="2">
        <v>3</v>
      </c>
      <c r="F622" s="2">
        <v>3</v>
      </c>
      <c r="H622" s="2">
        <v>332</v>
      </c>
      <c r="I622" s="2" t="inlineStr">
        <is>
          <t>$</t>
        </is>
      </c>
      <c r="J622" s="2">
        <f>HYPERLINK("https://app.astro.lead-studio.pro/product/5e794e43-660f-45a9-8391-140b36fc8df7")</f>
      </c>
    </row>
    <row r="623" spans="1:10" customHeight="0">
      <c r="A623" s="2" t="inlineStr">
        <is>
          <t>Видеокарты</t>
        </is>
      </c>
      <c r="B623" s="2" t="inlineStr">
        <is>
          <t>Maxsun</t>
        </is>
      </c>
      <c r="C623" s="2" t="inlineStr">
        <is>
          <t>6940709643716||bp</t>
        </is>
      </c>
      <c r="D623" s="2" t="inlineStr">
        <is>
          <t>Видеокарта Maxsun Terminator RTX3060 12GB GDDR6 192-bit DPx3 HDMI 2FAN RTL </t>
        </is>
      </c>
      <c r="E623" s="2">
        <v>1</v>
      </c>
      <c r="F623" s="2">
        <v>1</v>
      </c>
      <c r="H623" s="2">
        <v>358</v>
      </c>
      <c r="I623" s="2" t="inlineStr">
        <is>
          <t>$</t>
        </is>
      </c>
      <c r="J623" s="2">
        <f>HYPERLINK("https://app.astro.lead-studio.pro/product/c0c695dd-a32e-448b-845b-e603ea11a5bb")</f>
      </c>
    </row>
    <row r="624" spans="1:10" customHeight="0">
      <c r="A624" s="2" t="inlineStr">
        <is>
          <t>Видеокарты</t>
        </is>
      </c>
      <c r="B624" s="2" t="inlineStr">
        <is>
          <t>ASUS</t>
        </is>
      </c>
      <c r="C624" s="2" t="inlineStr">
        <is>
          <t>90YV0GH7-M0NA00</t>
        </is>
      </c>
      <c r="D624" s="2" t="inlineStr">
        <is>
          <t>Видеокарта  DUAL-RTX3050-8G-V2//RTX3050,DVI,HDMI,DP,8G,D6 </t>
        </is>
      </c>
      <c r="E624" s="2">
        <v>1</v>
      </c>
      <c r="F624" s="2">
        <v>1</v>
      </c>
      <c r="H624" s="2">
        <v>328</v>
      </c>
      <c r="I624" s="2" t="inlineStr">
        <is>
          <t>$</t>
        </is>
      </c>
      <c r="J624" s="2">
        <f>HYPERLINK("https://app.astro.lead-studio.pro/product/f3cb3c8d-52a3-4fa3-ad21-fa16323d33dd")</f>
      </c>
    </row>
    <row r="625" spans="1:10" customHeight="0">
      <c r="A625" s="2" t="inlineStr">
        <is>
          <t>Видеокарты</t>
        </is>
      </c>
      <c r="B625" s="2" t="inlineStr">
        <is>
          <t>ASUS</t>
        </is>
      </c>
      <c r="C625" s="2" t="inlineStr">
        <is>
          <t>90YV0IJ1-M0NA00</t>
        </is>
      </c>
      <c r="D625" s="2" t="inlineStr">
        <is>
          <t>Видеокарта ASUS TUF-RTX4070TI-12G-GAMING /RTX4070TI,HDMI*2,DP*3,12G,D6X /RTX4070TI,HDMI*2,DP*3,12G,D6X</t>
        </is>
      </c>
      <c r="E625" s="2">
        <v>2</v>
      </c>
      <c r="F625" s="2">
        <v>2</v>
      </c>
      <c r="H625" s="2">
        <v>1153</v>
      </c>
      <c r="I625" s="2" t="inlineStr">
        <is>
          <t>$</t>
        </is>
      </c>
      <c r="J625" s="2">
        <f>HYPERLINK("https://app.astro.lead-studio.pro/product/1589b6b9-eab8-4637-8a78-dc0999d1f0c2")</f>
      </c>
    </row>
    <row r="626" spans="1:10" customHeight="0">
      <c r="A626" s="2" t="inlineStr">
        <is>
          <t>Видеокарты</t>
        </is>
      </c>
      <c r="B626" s="2" t="inlineStr">
        <is>
          <t>ASUS</t>
        </is>
      </c>
      <c r="C626" s="2" t="inlineStr">
        <is>
          <t>90YV0IZ2-M0NA00</t>
        </is>
      </c>
      <c r="D626" s="2" t="inlineStr">
        <is>
          <t>Видеокарта ASUS DUAL-RTX4070-O12G /RTX4070,HDMI,DP*3,12G,D6X</t>
        </is>
      </c>
      <c r="E626" s="2">
        <v>90</v>
      </c>
      <c r="F626" s="2">
        <v>90</v>
      </c>
      <c r="H626" s="2">
        <v>808</v>
      </c>
      <c r="I626" s="2" t="inlineStr">
        <is>
          <t>$</t>
        </is>
      </c>
      <c r="J626" s="2">
        <f>HYPERLINK("https://app.astro.lead-studio.pro/product/ea957252-87f3-49d4-9be8-dd40a53d4fd9")</f>
      </c>
    </row>
    <row r="627" spans="1:10" customHeight="0">
      <c r="A627" s="2" t="inlineStr">
        <is>
          <t>Видеокарты</t>
        </is>
      </c>
      <c r="B627" s="2" t="inlineStr">
        <is>
          <t>ASUS</t>
        </is>
      </c>
      <c r="C627" s="2" t="inlineStr">
        <is>
          <t>90YV0IZ4-M0NA00</t>
        </is>
      </c>
      <c r="D627" s="2" t="inlineStr">
        <is>
          <t>DUAL-RTX4070-O12G-WHITE</t>
        </is>
      </c>
      <c r="E627" s="2">
        <v>100</v>
      </c>
      <c r="F627" s="2">
        <v>100</v>
      </c>
      <c r="H627" s="2">
        <v>815</v>
      </c>
      <c r="I627" s="2" t="inlineStr">
        <is>
          <t>$</t>
        </is>
      </c>
      <c r="J627" s="2">
        <f>HYPERLINK("https://app.astro.lead-studio.pro/product/3d2158f0-7302-4879-b3c7-69c6d7e8b852")</f>
      </c>
    </row>
    <row r="628" spans="1:10" customHeight="0">
      <c r="A628" s="2" t="inlineStr">
        <is>
          <t>Видеокарты</t>
        </is>
      </c>
      <c r="B628" s="2" t="inlineStr">
        <is>
          <t>ASUS</t>
        </is>
      </c>
      <c r="C628" s="2" t="inlineStr">
        <is>
          <t>90YV0J11-M0NA00</t>
        </is>
      </c>
      <c r="D628" s="2" t="inlineStr">
        <is>
          <t>Видеокарта ASUS PROART-RTX4070-O12G /RTX4070,HDMI,DP*3,12G,D6X</t>
        </is>
      </c>
      <c r="E628" s="2">
        <v>65</v>
      </c>
      <c r="F628" s="2">
        <v>65</v>
      </c>
      <c r="H628" s="2">
        <v>842</v>
      </c>
      <c r="I628" s="2" t="inlineStr">
        <is>
          <t>$</t>
        </is>
      </c>
      <c r="J628" s="2">
        <f>HYPERLINK("https://app.astro.lead-studio.pro/product/e3d9801a-6cea-4945-ad9b-04152da0217b")</f>
      </c>
    </row>
    <row r="629" spans="1:10" customHeight="0">
      <c r="A629" s="2" t="inlineStr">
        <is>
          <t>Видеокарты</t>
        </is>
      </c>
      <c r="B629" s="2" t="inlineStr">
        <is>
          <t>ASUS</t>
        </is>
      </c>
      <c r="C629" s="2" t="inlineStr">
        <is>
          <t>90YV0J12-M0NA00</t>
        </is>
      </c>
      <c r="D629" s="2" t="inlineStr">
        <is>
          <t>Видеокарта ASUS PROART-RTX4070-12G /RTX4070,HDMI,DP*3,12G,D6X </t>
        </is>
      </c>
      <c r="E629" s="2">
        <v>10</v>
      </c>
      <c r="F629" s="2">
        <v>10</v>
      </c>
      <c r="H629" s="2">
        <v>845</v>
      </c>
      <c r="I629" s="2" t="inlineStr">
        <is>
          <t>$</t>
        </is>
      </c>
      <c r="J629" s="2">
        <f>HYPERLINK("https://app.astro.lead-studio.pro/product/ef14f062-eef7-4784-a9ad-f65b2b6372c4")</f>
      </c>
    </row>
    <row r="630" spans="1:10" customHeight="0">
      <c r="A630" s="2" t="inlineStr">
        <is>
          <t>Видеокарты</t>
        </is>
      </c>
      <c r="B630" s="2" t="inlineStr">
        <is>
          <t>Afox</t>
        </is>
      </c>
      <c r="C630" s="2" t="inlineStr">
        <is>
          <t>AF3060-12GD6H4</t>
        </is>
      </c>
      <c r="D630" s="2" t="inlineStr">
        <is>
          <t>Видеокарта Afox RTX3060 12GB GDDR6 192-bit DPx3 HDMI 2FAN RTL </t>
        </is>
      </c>
      <c r="E630" s="2">
        <v>70</v>
      </c>
      <c r="F630" s="2">
        <v>70</v>
      </c>
      <c r="H630" s="2">
        <v>360</v>
      </c>
      <c r="I630" s="2" t="inlineStr">
        <is>
          <t>$</t>
        </is>
      </c>
      <c r="J630" s="2">
        <f>HYPERLINK("https://app.astro.lead-studio.pro/product/7106ccc3-88fb-408a-9ddb-f19bc37c229f")</f>
      </c>
    </row>
    <row r="631" spans="1:10" customHeight="0">
      <c r="A631" s="2" t="inlineStr">
        <is>
          <t>Видеокарты</t>
        </is>
      </c>
      <c r="B631" s="2" t="inlineStr">
        <is>
          <t>Afox</t>
        </is>
      </c>
      <c r="C631" s="2" t="inlineStr">
        <is>
          <t>AF3060TI-8192D6H7-V2</t>
        </is>
      </c>
      <c r="D631" s="2" t="inlineStr">
        <is>
          <t>Видеокарта Afox RTX3060Ti GAMING 8GB GDDR6 256bit 3xDP HDMI 2FAN RTL</t>
        </is>
      </c>
      <c r="E631" s="2">
        <v>64</v>
      </c>
      <c r="F631" s="2">
        <v>64</v>
      </c>
      <c r="H631" s="2">
        <v>424</v>
      </c>
      <c r="I631" s="2" t="inlineStr">
        <is>
          <t>$</t>
        </is>
      </c>
      <c r="J631" s="2">
        <f>HYPERLINK("https://app.astro.lead-studio.pro/product/975806e1-30a5-4bb4-be83-112135727484")</f>
      </c>
    </row>
    <row r="632" spans="1:10" customHeight="0">
      <c r="A632" s="2" t="inlineStr">
        <is>
          <t>Видеокарты</t>
        </is>
      </c>
      <c r="B632" s="2" t="inlineStr">
        <is>
          <t>Afox</t>
        </is>
      </c>
      <c r="C632" s="2" t="inlineStr">
        <is>
          <t>AF3070-8192D6H7-V3</t>
        </is>
      </c>
      <c r="D632" s="2" t="inlineStr">
        <is>
          <t>Видеокарта Afox RTX3070 GAMING 8GB GDDR6 256bit 3xDP HDMI 3FAN RTL</t>
        </is>
      </c>
      <c r="E632" s="2">
        <v>35</v>
      </c>
      <c r="F632" s="2">
        <v>35</v>
      </c>
      <c r="H632" s="2">
        <v>474</v>
      </c>
      <c r="I632" s="2" t="inlineStr">
        <is>
          <t>$</t>
        </is>
      </c>
      <c r="J632" s="2">
        <f>HYPERLINK("https://app.astro.lead-studio.pro/product/4f57eadb-8db5-4f0e-a55d-74ce0e6cc1c6")</f>
      </c>
    </row>
    <row r="633" spans="1:10" customHeight="0">
      <c r="A633" s="2" t="inlineStr">
        <is>
          <t>Видеокарты</t>
        </is>
      </c>
      <c r="B633" s="2" t="inlineStr">
        <is>
          <t>Afox</t>
        </is>
      </c>
      <c r="C633" s="2" t="inlineStr">
        <is>
          <t>AF3070TI-8GD6XH7-V2</t>
        </is>
      </c>
      <c r="D633" s="2" t="inlineStr">
        <is>
          <t>Видеокарта Afox RTX3070Ti GAMING 8GB GDDR6X 256bit 3xPD HDMI 3FAN RTL</t>
        </is>
      </c>
      <c r="E633" s="2">
        <v>31</v>
      </c>
      <c r="F633" s="2">
        <v>31</v>
      </c>
      <c r="H633" s="2">
        <v>543</v>
      </c>
      <c r="I633" s="2" t="inlineStr">
        <is>
          <t>$</t>
        </is>
      </c>
      <c r="J633" s="2">
        <f>HYPERLINK("https://app.astro.lead-studio.pro/product/87efca2c-8f25-40a6-98f3-115a9222f34c")</f>
      </c>
    </row>
    <row r="634" spans="1:10" customHeight="0">
      <c r="A634" s="2" t="inlineStr">
        <is>
          <t>Видеокарты</t>
        </is>
      </c>
      <c r="B634" s="2" t="inlineStr">
        <is>
          <t>Gigabyte</t>
        </is>
      </c>
      <c r="C634" s="2" t="inlineStr">
        <is>
          <t>GV-N3050WF2OCV2-8GD</t>
        </is>
      </c>
      <c r="D634" s="2" t="inlineStr">
        <is>
          <t>Видеокарта Gigabyte RTX3050 WINDFORCE OC V2 8GB GDDR6 128-bit HDMIx2 DPx2 2FAN RTL </t>
        </is>
      </c>
      <c r="E634" s="2">
        <v>20</v>
      </c>
      <c r="F634" s="2">
        <v>20</v>
      </c>
      <c r="H634" s="2">
        <v>359</v>
      </c>
      <c r="I634" s="2" t="inlineStr">
        <is>
          <t>$</t>
        </is>
      </c>
      <c r="J634" s="2">
        <f>HYPERLINK("https://app.astro.lead-studio.pro/product/09397c36-6ff4-4eb7-8bbe-40269b796f3a")</f>
      </c>
    </row>
    <row r="635" spans="1:10" customHeight="0">
      <c r="A635" s="2" t="inlineStr">
        <is>
          <t>Видеокарты</t>
        </is>
      </c>
      <c r="B635" s="2" t="inlineStr">
        <is>
          <t>AORUS</t>
        </is>
      </c>
      <c r="C635" s="2" t="inlineStr">
        <is>
          <t>GV-N4060AORUS E-8GD||bp</t>
        </is>
      </c>
      <c r="D635" s="2" t="inlineStr">
        <is>
          <t>125997 Видеокарта Gigabyte AORUS RTX4060 ELITE 8GB GDDR6 128-bit DPx2 HDMIx2 3FAN RTL </t>
        </is>
      </c>
      <c r="E635" s="2">
        <v>1</v>
      </c>
      <c r="F635" s="2">
        <v>1</v>
      </c>
      <c r="H635" s="2">
        <v>466</v>
      </c>
      <c r="I635" s="2" t="inlineStr">
        <is>
          <t>$</t>
        </is>
      </c>
      <c r="J635" s="2">
        <f>HYPERLINK("https://app.astro.lead-studio.pro/product/3339eb0e-4089-485c-9196-44e81f1bb543")</f>
      </c>
    </row>
    <row r="636" spans="1:10" customHeight="0">
      <c r="A636" s="2" t="inlineStr">
        <is>
          <t>Видеокарты</t>
        </is>
      </c>
      <c r="B636" s="2" t="inlineStr">
        <is>
          <t>Gigabyte</t>
        </is>
      </c>
      <c r="C636" s="2" t="inlineStr">
        <is>
          <t>GV-N4060D6-8GD||bp</t>
        </is>
      </c>
      <c r="D636" s="2" t="inlineStr">
        <is>
          <t>Видеокарта Gigabyte RTX4060 D6 8GB GDDR6 128-bit DPx2 HDMIx2 1FAN RTL  </t>
        </is>
      </c>
      <c r="E636" s="2">
        <v>1</v>
      </c>
      <c r="F636" s="2">
        <v>1</v>
      </c>
      <c r="H636" s="2">
        <v>381</v>
      </c>
      <c r="I636" s="2" t="inlineStr">
        <is>
          <t>$</t>
        </is>
      </c>
      <c r="J636" s="2">
        <f>HYPERLINK("https://app.astro.lead-studio.pro/product/598e3e4d-f816-402a-a8c4-c3edb6eba0e1")</f>
      </c>
    </row>
    <row r="637" spans="1:10" customHeight="0">
      <c r="A637" s="2" t="inlineStr">
        <is>
          <t>Видеокарты</t>
        </is>
      </c>
      <c r="B637" s="2" t="inlineStr">
        <is>
          <t>Gigabyte</t>
        </is>
      </c>
      <c r="C637" s="2" t="inlineStr">
        <is>
          <t>GV-N4060GAMING OC-8GD</t>
        </is>
      </c>
      <c r="D637" s="2" t="inlineStr">
        <is>
          <t>Видеокарта Gigabyte RTX4060 GAMING OC 8GB GDDR6 128-bit DPx2 HDMIx2 3FAN RTL </t>
        </is>
      </c>
      <c r="E637" s="2">
        <v>20</v>
      </c>
      <c r="F637" s="2">
        <v>20</v>
      </c>
      <c r="H637" s="2">
        <v>470</v>
      </c>
      <c r="I637" s="2" t="inlineStr">
        <is>
          <t>$</t>
        </is>
      </c>
      <c r="J637" s="2">
        <f>HYPERLINK("https://app.astro.lead-studio.pro/product/36d1b0c2-d70f-40a2-9744-8443e99dc941")</f>
      </c>
    </row>
    <row r="638" spans="1:10" customHeight="0">
      <c r="A638" s="2" t="inlineStr">
        <is>
          <t>Видеокарты</t>
        </is>
      </c>
      <c r="B638" s="2" t="inlineStr">
        <is>
          <t>Gigabyte</t>
        </is>
      </c>
      <c r="C638" s="2" t="inlineStr">
        <is>
          <t>GV-N4070GAMING OC-12GD||bp</t>
        </is>
      </c>
      <c r="D638" s="2" t="inlineStr">
        <is>
          <t>Видеокарта Gigabyte Bad Pack RTX4070 GAMING OC 12GB GDDR6X 192-bit DPx3 HDMI (GV-N4070GAMING OC-12GD)</t>
        </is>
      </c>
      <c r="E638" s="2">
        <v>1</v>
      </c>
      <c r="F638" s="2">
        <v>1</v>
      </c>
      <c r="H638" s="2">
        <v>816</v>
      </c>
      <c r="I638" s="2" t="inlineStr">
        <is>
          <t>$</t>
        </is>
      </c>
      <c r="J638" s="2">
        <f>HYPERLINK("https://app.astro.lead-studio.pro/product/6c5b899f-0a21-4d8c-81b5-cf189be0631c")</f>
      </c>
    </row>
    <row r="639" spans="1:10" customHeight="0">
      <c r="A639" s="2" t="inlineStr">
        <is>
          <t>Видеокарты</t>
        </is>
      </c>
      <c r="B639" s="2" t="inlineStr">
        <is>
          <t>Gigabyte</t>
        </is>
      </c>
      <c r="C639" s="2" t="inlineStr">
        <is>
          <t>GV-N4070GAMING OCV2-12GD</t>
        </is>
      </c>
      <c r="D639" s="2" t="inlineStr">
        <is>
          <t>Видеокарта Gigabyte RTX4070 GAMING OC V2 12GB GDDR6X 192-bit DPx3 HDMI 3FAN RTL </t>
        </is>
      </c>
      <c r="E639" s="2">
        <v>20</v>
      </c>
      <c r="F639" s="2">
        <v>20</v>
      </c>
      <c r="H639" s="2">
        <v>850</v>
      </c>
      <c r="I639" s="2" t="inlineStr">
        <is>
          <t>$</t>
        </is>
      </c>
      <c r="J639" s="2">
        <f>HYPERLINK("https://app.astro.lead-studio.pro/product/1fedc713-45c1-46a1-8bdf-beff92572bad")</f>
      </c>
    </row>
    <row r="640" spans="1:10" customHeight="0">
      <c r="A640" s="2" t="inlineStr">
        <is>
          <t>Видеокарты</t>
        </is>
      </c>
      <c r="B640" s="2" t="inlineStr">
        <is>
          <t>Gigabyte</t>
        </is>
      </c>
      <c r="C640" s="2" t="inlineStr">
        <is>
          <t>GV-N4070GAMING OCV2-12GD||bp</t>
        </is>
      </c>
      <c r="D640" s="2" t="inlineStr">
        <is>
          <t>Видеокарта Gigabyte Bad Pack RTX4070 GAMING OC V2 12GB GDDR6X 192bit 3xDP HDMI 3FAN RTL bp</t>
        </is>
      </c>
      <c r="E640" s="2">
        <v>1</v>
      </c>
      <c r="F640" s="2">
        <v>1</v>
      </c>
      <c r="H640" s="2">
        <v>803</v>
      </c>
      <c r="I640" s="2" t="inlineStr">
        <is>
          <t>$</t>
        </is>
      </c>
      <c r="J640" s="2">
        <f>HYPERLINK("https://app.astro.lead-studio.pro/product/639b3954-997c-4375-b85a-c557cc12eb89")</f>
      </c>
    </row>
    <row r="641" spans="1:10" customHeight="0">
      <c r="A641" s="2" t="inlineStr">
        <is>
          <t>Видеокарты</t>
        </is>
      </c>
      <c r="B641" s="2" t="inlineStr">
        <is>
          <t>Gigabyte</t>
        </is>
      </c>
      <c r="C641" s="2" t="inlineStr">
        <is>
          <t>GV-N4070WF2OCV2-12GD</t>
        </is>
      </c>
      <c r="D641" s="2" t="inlineStr">
        <is>
          <t>Видеокарта Gigabyte RTX4070 WINDFORCE 2X OC V2 12GB GDDR6 192bit 3xDP HDMI 2FAN RTL</t>
        </is>
      </c>
      <c r="E641" s="2">
        <v>11</v>
      </c>
      <c r="F641" s="2">
        <v>11</v>
      </c>
      <c r="H641" s="2">
        <v>797</v>
      </c>
      <c r="I641" s="2" t="inlineStr">
        <is>
          <t>$</t>
        </is>
      </c>
      <c r="J641" s="2">
        <f>HYPERLINK("https://app.astro.lead-studio.pro/product/88a6cfdc-ca13-439f-b924-057a5415b0de")</f>
      </c>
    </row>
    <row r="642" spans="1:10" customHeight="0">
      <c r="A642" s="2" t="inlineStr">
        <is>
          <t>Видеокарты</t>
        </is>
      </c>
      <c r="B642" s="2" t="inlineStr">
        <is>
          <t>AORUS</t>
        </is>
      </c>
      <c r="C642" s="2" t="inlineStr">
        <is>
          <t>GV-N407TAORUS E-12GD</t>
        </is>
      </c>
      <c r="D642" s="2" t="inlineStr">
        <is>
          <t>Видеокарта Gigabyte RTX4070Ti AORUS ELITE 12GB (312589)</t>
        </is>
      </c>
      <c r="E642" s="2">
        <v>2</v>
      </c>
      <c r="F642" s="2">
        <v>2</v>
      </c>
      <c r="H642" s="2">
        <v>1198</v>
      </c>
      <c r="I642" s="2" t="inlineStr">
        <is>
          <t>$</t>
        </is>
      </c>
      <c r="J642" s="2">
        <f>HYPERLINK("https://app.astro.lead-studio.pro/product/b40aaa30-db5e-4897-b20c-1ed53c8887ef")</f>
      </c>
    </row>
    <row r="643" spans="1:10" customHeight="0">
      <c r="A643" s="2" t="inlineStr">
        <is>
          <t>Видеокарты</t>
        </is>
      </c>
      <c r="B643" s="2" t="inlineStr">
        <is>
          <t>AORUS</t>
        </is>
      </c>
      <c r="C643" s="2" t="inlineStr">
        <is>
          <t>GV-N407TAORUS M-12GD</t>
        </is>
      </c>
      <c r="D643" s="2" t="inlineStr">
        <is>
          <t>Видеокарта Gigabyte RTX4070Ti AORUS MASTER 12GB</t>
        </is>
      </c>
      <c r="E643" s="2">
        <v>1</v>
      </c>
      <c r="F643" s="2">
        <v>1</v>
      </c>
      <c r="H643" s="2">
        <v>1213</v>
      </c>
      <c r="I643" s="2" t="inlineStr">
        <is>
          <t>$</t>
        </is>
      </c>
      <c r="J643" s="2">
        <f>HYPERLINK("https://app.astro.lead-studio.pro/product/f2a5d2c6-b5a1-46e9-9f4e-55ba06f44e4e")</f>
      </c>
    </row>
    <row r="644" spans="1:10" customHeight="0">
      <c r="A644" s="2" t="inlineStr">
        <is>
          <t>Видеокарты</t>
        </is>
      </c>
      <c r="B644" s="2" t="inlineStr">
        <is>
          <t>Gigabyte</t>
        </is>
      </c>
      <c r="C644" s="2" t="inlineStr">
        <is>
          <t>GV-N407TSAI TOP-16GD</t>
        </is>
      </c>
      <c r="D644" s="2" t="inlineStr">
        <is>
          <t>Видеокарта Gigabyte RTX4070Ti SUPER AI TOP 16GB GDDR6X 256bit 3xDP HDMI BLOWER RTL</t>
        </is>
      </c>
      <c r="E644" s="2">
        <v>100</v>
      </c>
      <c r="F644" s="2">
        <v>100</v>
      </c>
      <c r="H644" s="2">
        <v>1166</v>
      </c>
      <c r="I644" s="2" t="inlineStr">
        <is>
          <t>$</t>
        </is>
      </c>
      <c r="J644" s="2">
        <f>HYPERLINK("https://app.astro.lead-studio.pro/product/4fdc6222-03bd-4de8-a392-d7ba1a2d7d80")</f>
      </c>
    </row>
    <row r="645" spans="1:10" customHeight="0">
      <c r="A645" s="2" t="inlineStr">
        <is>
          <t>Видеокарты</t>
        </is>
      </c>
      <c r="B645" s="2" t="inlineStr">
        <is>
          <t>Gigabyte</t>
        </is>
      </c>
      <c r="C645" s="2" t="inlineStr">
        <is>
          <t>GV-N407TSGAMING OC-16GD||bp</t>
        </is>
      </c>
      <c r="D645" s="2" t="inlineStr">
        <is>
          <t>Видеокарта Gigabyte RTX4070Ti SUPER GAMING OC 16GB RTL </t>
        </is>
      </c>
      <c r="E645" s="2">
        <v>1</v>
      </c>
      <c r="F645" s="2">
        <v>1</v>
      </c>
      <c r="H645" s="2">
        <v>1216</v>
      </c>
      <c r="I645" s="2" t="inlineStr">
        <is>
          <t>$</t>
        </is>
      </c>
      <c r="J645" s="2">
        <f>HYPERLINK("https://app.astro.lead-studio.pro/product/67a3144f-dc31-466f-81ce-d26375b21276")</f>
      </c>
    </row>
    <row r="646" spans="1:10" customHeight="0">
      <c r="A646" s="2" t="inlineStr">
        <is>
          <t>Видеокарты</t>
        </is>
      </c>
      <c r="B646" s="2" t="inlineStr">
        <is>
          <t>INNO3D</t>
        </is>
      </c>
      <c r="C646" s="2" t="inlineStr">
        <is>
          <t>N30602-12D6-119032AH</t>
        </is>
      </c>
      <c r="D646" s="2" t="inlineStr">
        <is>
          <t>Видеокарта INNO3D RTX3060 TWIN X2 12GB GDDR6 192bit DVI HDMI 3xDP RTL {10} (796) (102091)</t>
        </is>
      </c>
      <c r="E646" s="2">
        <v>104</v>
      </c>
      <c r="F646" s="2">
        <v>104</v>
      </c>
      <c r="H646" s="2">
        <v>370</v>
      </c>
      <c r="I646" s="2" t="inlineStr">
        <is>
          <t>$</t>
        </is>
      </c>
      <c r="J646" s="2">
        <f>HYPERLINK("https://app.astro.lead-studio.pro/product/cc2d8263-ac70-40b6-b8d4-dfe47fa03151")</f>
      </c>
    </row>
    <row r="647" spans="1:10" customHeight="0">
      <c r="A647" s="2" t="inlineStr">
        <is>
          <t>Видеокарты</t>
        </is>
      </c>
      <c r="B647" s="2" t="inlineStr">
        <is>
          <t>INNO3D</t>
        </is>
      </c>
      <c r="C647" s="2" t="inlineStr">
        <is>
          <t>N30602-12D6X-11902120H</t>
        </is>
      </c>
      <c r="D647" s="2" t="inlineStr">
        <is>
          <t>Видеокарта INNO3D RTX3060 TWIN X2 OC 12GB GDDR6 192bit HDMI 3xDP RTL {10} (795) (002104) {5}</t>
        </is>
      </c>
      <c r="E647" s="2">
        <v>60</v>
      </c>
      <c r="F647" s="2">
        <v>60</v>
      </c>
      <c r="H647" s="2">
        <v>379</v>
      </c>
      <c r="I647" s="2" t="inlineStr">
        <is>
          <t>$</t>
        </is>
      </c>
      <c r="J647" s="2">
        <f>HYPERLINK("https://app.astro.lead-studio.pro/product/9097ed1a-9256-473b-9ab7-0f11c4ed825e")</f>
      </c>
    </row>
    <row r="648" spans="1:10" customHeight="0">
      <c r="A648" s="2" t="inlineStr">
        <is>
          <t>Видеокарты</t>
        </is>
      </c>
      <c r="B648" s="2" t="inlineStr">
        <is>
          <t>INNO3D</t>
        </is>
      </c>
      <c r="C648" s="2" t="inlineStr">
        <is>
          <t>N40601-08D6-173050N</t>
        </is>
      </c>
      <c r="D648" s="2" t="inlineStr">
        <is>
          <t>Видеокарта INNO3D RTX4060 COMPACT 8GB GDDR6 128-bit DPx3 HDMI 1FAN RTL </t>
        </is>
      </c>
      <c r="E648" s="2">
        <v>6</v>
      </c>
      <c r="F648" s="2">
        <v>6</v>
      </c>
      <c r="H648" s="2">
        <v>403</v>
      </c>
      <c r="I648" s="2" t="inlineStr">
        <is>
          <t>$</t>
        </is>
      </c>
      <c r="J648" s="2">
        <f>HYPERLINK("https://app.astro.lead-studio.pro/product/4831d82f-c600-4cb2-bd6c-7078b0399306")</f>
      </c>
    </row>
    <row r="649" spans="1:10" customHeight="0">
      <c r="A649" s="2" t="inlineStr">
        <is>
          <t>Видеокарты</t>
        </is>
      </c>
      <c r="B649" s="2" t="inlineStr">
        <is>
          <t>INNO3D</t>
        </is>
      </c>
      <c r="C649" s="2" t="inlineStr">
        <is>
          <t>N40702-126XX-183052V</t>
        </is>
      </c>
      <c r="D649" s="2" t="inlineStr">
        <is>
          <t>Видеокарта INNO3D RTX4070 TWIN X2 OC WHITE 12GB GDDR6X 192-bit DPx3 HDMI 2FAN RTL </t>
        </is>
      </c>
      <c r="E649" s="2">
        <v>100</v>
      </c>
      <c r="F649" s="2">
        <v>100</v>
      </c>
      <c r="H649" s="2">
        <v>793</v>
      </c>
      <c r="I649" s="2" t="inlineStr">
        <is>
          <t>$</t>
        </is>
      </c>
      <c r="J649" s="2">
        <f>HYPERLINK("https://app.astro.lead-studio.pro/product/a7ed407d-bc24-48f7-ad62-b4168cc24da6")</f>
      </c>
    </row>
    <row r="650" spans="1:10" customHeight="0">
      <c r="A650" s="2" t="inlineStr">
        <is>
          <t>Видеокарты</t>
        </is>
      </c>
      <c r="B650" s="2" t="inlineStr">
        <is>
          <t>INNO3D</t>
        </is>
      </c>
      <c r="C650" s="2" t="inlineStr">
        <is>
          <t>N407S2-126X-186162N</t>
        </is>
      </c>
      <c r="D650" s="2" t="inlineStr">
        <is>
          <t>Видеокарта INNO3D RTX4070 SUPER TWIN X2 12GB GDDR6X 192bit 3xDP HDMI 2FAN</t>
        </is>
      </c>
      <c r="E650" s="2">
        <v>100</v>
      </c>
      <c r="F650" s="2">
        <v>100</v>
      </c>
      <c r="H650" s="2">
        <v>908</v>
      </c>
      <c r="I650" s="2" t="inlineStr">
        <is>
          <t>$</t>
        </is>
      </c>
      <c r="J650" s="2">
        <f>HYPERLINK("https://app.astro.lead-studio.pro/product/abaf45bb-f04b-49e4-92ac-80b88be43818")</f>
      </c>
    </row>
    <row r="651" spans="1:10" customHeight="0">
      <c r="A651" s="2" t="inlineStr">
        <is>
          <t>Видеокарты</t>
        </is>
      </c>
      <c r="B651" s="2" t="inlineStr">
        <is>
          <t>INNO3D</t>
        </is>
      </c>
      <c r="C651" s="2" t="inlineStr">
        <is>
          <t>N407S2-126XX-186162N</t>
        </is>
      </c>
      <c r="D651" s="2" t="inlineStr">
        <is>
          <t>Видеокарта INNO3D RTX4070 SUPER TWIN X2 OC 12GB GDDR6X 192bit 3xDP HDMI 2FAN</t>
        </is>
      </c>
      <c r="E651" s="2">
        <v>3</v>
      </c>
      <c r="F651" s="2">
        <v>3</v>
      </c>
      <c r="H651" s="2">
        <v>918</v>
      </c>
      <c r="I651" s="2" t="inlineStr">
        <is>
          <t>$</t>
        </is>
      </c>
      <c r="J651" s="2">
        <f>HYPERLINK("https://app.astro.lead-studio.pro/product/336fcf78-bc22-4138-9677-54c11292303f")</f>
      </c>
    </row>
    <row r="652" spans="1:10" customHeight="0">
      <c r="A652" s="2" t="inlineStr">
        <is>
          <t>Видеокарты</t>
        </is>
      </c>
      <c r="B652" s="2" t="inlineStr">
        <is>
          <t>INNO3D</t>
        </is>
      </c>
      <c r="C652" s="2" t="inlineStr">
        <is>
          <t>N407S3-126XX-186162L</t>
        </is>
      </c>
      <c r="D652" s="2" t="inlineStr">
        <is>
          <t>Видеокарта INNO3D RTX4070 SUPER X3 OC 12GB GDDR6X 192bit 3xDP HDMI 3FAN</t>
        </is>
      </c>
      <c r="E652" s="2">
        <v>3</v>
      </c>
      <c r="F652" s="2">
        <v>3</v>
      </c>
      <c r="H652" s="2">
        <v>942</v>
      </c>
      <c r="I652" s="2" t="inlineStr">
        <is>
          <t>$</t>
        </is>
      </c>
      <c r="J652" s="2">
        <f>HYPERLINK("https://app.astro.lead-studio.pro/product/98c75daa-11ed-4d0e-add1-741c98ad84d4")</f>
      </c>
    </row>
    <row r="653" spans="1:10" customHeight="0">
      <c r="A653" s="2" t="inlineStr">
        <is>
          <t>Видеокарты</t>
        </is>
      </c>
      <c r="B653" s="2" t="inlineStr">
        <is>
          <t>INNO3D</t>
        </is>
      </c>
      <c r="C653" s="2" t="inlineStr">
        <is>
          <t>N407TS2-166X-186156N</t>
        </is>
      </c>
      <c r="D653" s="2" t="inlineStr">
        <is>
          <t>Видеокарта INNO3D RTX4070Ti SUPER TWIN X2 16GB GDDR6X 256bit 3xDP HDMI 2FAN</t>
        </is>
      </c>
      <c r="E653" s="2">
        <v>14</v>
      </c>
      <c r="F653" s="2">
        <v>14</v>
      </c>
      <c r="H653" s="2">
        <v>1172</v>
      </c>
      <c r="I653" s="2" t="inlineStr">
        <is>
          <t>$</t>
        </is>
      </c>
      <c r="J653" s="2">
        <f>HYPERLINK("https://app.astro.lead-studio.pro/product/52aa271a-d93b-4abe-aed3-6d059846a61a")</f>
      </c>
    </row>
    <row r="654" spans="1:10" customHeight="0">
      <c r="A654" s="2" t="inlineStr">
        <is>
          <t>Видеокарты</t>
        </is>
      </c>
      <c r="B654" s="2" t="inlineStr">
        <is>
          <t>INNO3D</t>
        </is>
      </c>
      <c r="C654" s="2" t="inlineStr">
        <is>
          <t>N407TS2-166XX-186156N</t>
        </is>
      </c>
      <c r="D654" s="2" t="inlineStr">
        <is>
          <t>Видеокарта INNO3D RTX4070Ti SUPER TWIN X2 16GB GDDR6X 256bit 3xDP HDMI 2FAN</t>
        </is>
      </c>
      <c r="E654" s="2">
        <v>45</v>
      </c>
      <c r="F654" s="2">
        <v>45</v>
      </c>
      <c r="H654" s="2">
        <v>1174</v>
      </c>
      <c r="I654" s="2" t="inlineStr">
        <is>
          <t>$</t>
        </is>
      </c>
      <c r="J654" s="2">
        <f>HYPERLINK("https://app.astro.lead-studio.pro/product/da03cfc3-a53e-4e83-918a-a0a74388840b")</f>
      </c>
    </row>
    <row r="655" spans="1:10" customHeight="0">
      <c r="A655" s="2" t="inlineStr">
        <is>
          <t>Видеокарты</t>
        </is>
      </c>
      <c r="B655" s="2" t="inlineStr">
        <is>
          <t>INNO3D</t>
        </is>
      </c>
      <c r="C655" s="2" t="inlineStr">
        <is>
          <t>N407TS2-166XX-186156W</t>
        </is>
      </c>
      <c r="D655" s="2" t="inlineStr">
        <is>
          <t>Видеокарта INNO3D RTX4070Ti SUPER TWIN X2 16GB GDDR6X 256bit 3xDP HDMI 2FAN</t>
        </is>
      </c>
      <c r="E655" s="2">
        <v>13</v>
      </c>
      <c r="F655" s="2">
        <v>13</v>
      </c>
      <c r="H655" s="2">
        <v>1172</v>
      </c>
      <c r="I655" s="2" t="inlineStr">
        <is>
          <t>$</t>
        </is>
      </c>
      <c r="J655" s="2">
        <f>HYPERLINK("https://app.astro.lead-studio.pro/product/3977f81c-51fb-4a78-9972-3029262ab8c7")</f>
      </c>
    </row>
    <row r="656" spans="1:10" customHeight="0">
      <c r="A656" s="2" t="inlineStr">
        <is>
          <t>Видеокарты</t>
        </is>
      </c>
      <c r="B656" s="2" t="inlineStr">
        <is>
          <t>INNO3D</t>
        </is>
      </c>
      <c r="C656" s="2" t="inlineStr">
        <is>
          <t>N407TS3-166XX-186158N</t>
        </is>
      </c>
      <c r="D656" s="2" t="inlineStr">
        <is>
          <t>Видеокарта INNO3D RTX4070 Ti SUPER X3 OC 16GB GDDR6X 256bit 3xDP HDMI 3FAN</t>
        </is>
      </c>
      <c r="E656" s="2">
        <v>14</v>
      </c>
      <c r="F656" s="2">
        <v>14</v>
      </c>
      <c r="H656" s="2">
        <v>1209</v>
      </c>
      <c r="I656" s="2" t="inlineStr">
        <is>
          <t>$</t>
        </is>
      </c>
      <c r="J656" s="2">
        <f>HYPERLINK("https://app.astro.lead-studio.pro/product/2c68bb67-2d26-44d1-a094-1d5557dbc127")</f>
      </c>
    </row>
    <row r="657" spans="1:10" customHeight="0">
      <c r="A657" s="2" t="inlineStr">
        <is>
          <t>Видеокарты</t>
        </is>
      </c>
      <c r="B657" s="2" t="inlineStr">
        <is>
          <t>Gainward</t>
        </is>
      </c>
      <c r="C657" s="2" t="inlineStr">
        <is>
          <t>NE63050018P1-1070B</t>
        </is>
      </c>
      <c r="D657" s="2" t="inlineStr">
        <is>
          <t>Видеокарта Gainward RTX3050 GHOST 8GB GDDR6 128bit DVI HDMI DP RTL</t>
        </is>
      </c>
      <c r="E657" s="2">
        <v>6</v>
      </c>
      <c r="F657" s="2">
        <v>6</v>
      </c>
      <c r="H657" s="2">
        <v>332</v>
      </c>
      <c r="I657" s="2" t="inlineStr">
        <is>
          <t>$</t>
        </is>
      </c>
      <c r="J657" s="2">
        <f>HYPERLINK("https://app.astro.lead-studio.pro/product/f40290b7-9d3a-42ea-8c3f-4efa90fecb0e")</f>
      </c>
    </row>
    <row r="658" spans="1:10" customHeight="0">
      <c r="A658" s="2" t="inlineStr">
        <is>
          <t>Видеокарты</t>
        </is>
      </c>
      <c r="B658" s="2" t="inlineStr">
        <is>
          <t>Palit</t>
        </is>
      </c>
      <c r="C658" s="2" t="inlineStr">
        <is>
          <t>NE64060T19P1-1070D</t>
        </is>
      </c>
      <c r="D658" s="2" t="inlineStr">
        <is>
          <t>Видеокарта Palit RTX4060 DUAL OC 8GB GDDR6 128-bit DPx3 HDMI RTL  </t>
        </is>
      </c>
      <c r="E658" s="2">
        <v>20</v>
      </c>
      <c r="F658" s="2">
        <v>20</v>
      </c>
      <c r="H658" s="2">
        <v>421</v>
      </c>
      <c r="I658" s="2" t="inlineStr">
        <is>
          <t>$</t>
        </is>
      </c>
      <c r="J658" s="2">
        <f>HYPERLINK("https://app.astro.lead-studio.pro/product/d7fbe523-c4dc-48b5-9de2-79913d7607dd")</f>
      </c>
    </row>
    <row r="659" spans="1:10" customHeight="0">
      <c r="A659" s="2" t="inlineStr">
        <is>
          <t>Видеокарты</t>
        </is>
      </c>
      <c r="B659" s="2" t="inlineStr">
        <is>
          <t>Gainward</t>
        </is>
      </c>
      <c r="C659" s="2" t="inlineStr">
        <is>
          <t>NE6406TT19P1-1060B</t>
        </is>
      </c>
      <c r="D659" s="2" t="inlineStr">
        <is>
          <t>RTX4060Ti GHOST OC 8GB GDDR6 128bit 3-DP HDMI</t>
        </is>
      </c>
      <c r="E659" s="2">
        <v>7</v>
      </c>
      <c r="F659" s="2">
        <v>7</v>
      </c>
      <c r="H659" s="2">
        <v>532</v>
      </c>
      <c r="I659" s="2" t="inlineStr">
        <is>
          <t>$</t>
        </is>
      </c>
      <c r="J659" s="2">
        <f>HYPERLINK("https://app.astro.lead-studio.pro/product/d11dbe0a-7b5d-4250-acf1-10dac566e088")</f>
      </c>
    </row>
    <row r="660" spans="1:10" customHeight="0">
      <c r="A660" s="2" t="inlineStr">
        <is>
          <t>Видеокарты</t>
        </is>
      </c>
      <c r="B660" s="2" t="inlineStr">
        <is>
          <t>Gainward</t>
        </is>
      </c>
      <c r="C660" s="2" t="inlineStr">
        <is>
          <t>NE64070S19K9-1048B</t>
        </is>
      </c>
      <c r="D660" s="2" t="inlineStr">
        <is>
          <t>Видеокарта Gainward RTX4070 GHOST OC 12GB GDDR6 192bit 3xDP HDMI 2FAN RTL</t>
        </is>
      </c>
      <c r="E660" s="2">
        <v>20</v>
      </c>
      <c r="F660" s="2">
        <v>20</v>
      </c>
      <c r="H660" s="2">
        <v>789</v>
      </c>
      <c r="I660" s="2" t="inlineStr">
        <is>
          <t>$</t>
        </is>
      </c>
      <c r="J660" s="2">
        <f>HYPERLINK("https://app.astro.lead-studio.pro/product/b5c7a4cc-da02-4a74-9873-0aa1ba4a714b")</f>
      </c>
    </row>
    <row r="661" spans="1:10" customHeight="0">
      <c r="A661" s="2" t="inlineStr">
        <is>
          <t>Видеокарты</t>
        </is>
      </c>
      <c r="B661" s="2" t="inlineStr">
        <is>
          <t>Palit</t>
        </is>
      </c>
      <c r="C661" s="2" t="inlineStr">
        <is>
          <t>NE64070S19K9-1048D</t>
        </is>
      </c>
      <c r="D661" s="2" t="inlineStr">
        <is>
          <t>Видеокарта Palit RTX4070 Dual OC 12GB GDDR6 192bit 3xDP HDMI 2FAN RTL</t>
        </is>
      </c>
      <c r="E661" s="2">
        <v>24</v>
      </c>
      <c r="F661" s="2">
        <v>24</v>
      </c>
      <c r="H661" s="2">
        <v>802</v>
      </c>
      <c r="I661" s="2" t="inlineStr">
        <is>
          <t>$</t>
        </is>
      </c>
      <c r="J661" s="2">
        <f>HYPERLINK("https://app.astro.lead-studio.pro/product/7c92cb91-60da-48f7-a23a-ad1cf32a451b")</f>
      </c>
    </row>
    <row r="662" spans="1:10" customHeight="0">
      <c r="A662" s="2" t="inlineStr">
        <is>
          <t>Видеокарты</t>
        </is>
      </c>
      <c r="B662" s="2" t="inlineStr">
        <is>
          <t>Palit</t>
        </is>
      </c>
      <c r="C662" s="2" t="inlineStr">
        <is>
          <t>NED4070019K9-1047D</t>
        </is>
      </c>
      <c r="D662" s="2" t="inlineStr">
        <is>
          <t>Видеокарта Palit RTX4070 DUAL 12GB GDDR6X 192bit 3-DP HDMI </t>
        </is>
      </c>
      <c r="E662" s="2">
        <v>20</v>
      </c>
      <c r="F662" s="2">
        <v>20</v>
      </c>
      <c r="H662" s="2">
        <v>786</v>
      </c>
      <c r="I662" s="2" t="inlineStr">
        <is>
          <t>$</t>
        </is>
      </c>
      <c r="J662" s="2">
        <f>HYPERLINK("https://app.astro.lead-studio.pro/product/9b8a70df-69f0-46b0-b84a-d87a2b4fe7b2")</f>
      </c>
    </row>
    <row r="663" spans="1:10" customHeight="0">
      <c r="A663" s="2" t="inlineStr">
        <is>
          <t>Видеокарты</t>
        </is>
      </c>
      <c r="B663" s="2" t="inlineStr">
        <is>
          <t>Palit</t>
        </is>
      </c>
      <c r="C663" s="2" t="inlineStr">
        <is>
          <t>NED4070019K9-1047J</t>
        </is>
      </c>
      <c r="D663" s="2" t="inlineStr">
        <is>
          <t>Видеокарта Palit RTX4070 JETSTREAM 12GB GDDR6X 192-bit DPx3 HDMI </t>
        </is>
      </c>
      <c r="E663" s="2">
        <v>20</v>
      </c>
      <c r="F663" s="2">
        <v>20</v>
      </c>
      <c r="H663" s="2">
        <v>816</v>
      </c>
      <c r="I663" s="2" t="inlineStr">
        <is>
          <t>$</t>
        </is>
      </c>
      <c r="J663" s="2">
        <f>HYPERLINK("https://app.astro.lead-studio.pro/product/ce32cdb1-b2ac-4e8f-9e04-662cce1f2489")</f>
      </c>
    </row>
    <row r="664" spans="1:10" customHeight="0">
      <c r="A664" s="2" t="inlineStr">
        <is>
          <t>Видеокарты</t>
        </is>
      </c>
      <c r="B664" s="2" t="inlineStr">
        <is>
          <t>Palit</t>
        </is>
      </c>
      <c r="C664" s="2" t="inlineStr">
        <is>
          <t>NED407S019K9-1043F</t>
        </is>
      </c>
      <c r="D664" s="2" t="inlineStr">
        <is>
          <t>Видеокарта Palit RTX4070 SUPER 12GB GDDR6X 192bit 3xDP HDMI BLOWER RTL</t>
        </is>
      </c>
      <c r="E664" s="2">
        <v>19</v>
      </c>
      <c r="F664" s="2">
        <v>19</v>
      </c>
      <c r="H664" s="2">
        <v>976</v>
      </c>
      <c r="I664" s="2" t="inlineStr">
        <is>
          <t>$</t>
        </is>
      </c>
      <c r="J664" s="2">
        <f>HYPERLINK("https://app.astro.lead-studio.pro/product/9853f599-44fa-416d-a0e5-5d87cd8d2fa0")</f>
      </c>
    </row>
    <row r="665" spans="1:10" customHeight="0">
      <c r="A665" s="2" t="inlineStr">
        <is>
          <t>Видеокарты</t>
        </is>
      </c>
      <c r="B665" s="2" t="inlineStr">
        <is>
          <t>MSI</t>
        </is>
      </c>
      <c r="C665" s="2" t="inlineStr">
        <is>
          <t>RTX 3050 AERO ITX 8G OCV2</t>
        </is>
      </c>
      <c r="D665" s="2" t="inlineStr">
        <is>
          <t>Видеокарта MSI RTX3050 AERO ITX 8GB OCV2 GDDR6 128-bit DL-DVI-D/HDMI/DP</t>
        </is>
      </c>
      <c r="E665" s="2">
        <v>3</v>
      </c>
      <c r="F665" s="2">
        <v>3</v>
      </c>
      <c r="H665" s="2">
        <v>335</v>
      </c>
      <c r="I665" s="2" t="inlineStr">
        <is>
          <t>$</t>
        </is>
      </c>
      <c r="J665" s="2">
        <f>HYPERLINK("https://app.astro.lead-studio.pro/product/a84a80be-68c6-41d6-90c6-d2a015209059")</f>
      </c>
    </row>
    <row r="666" spans="1:10" customHeight="0">
      <c r="A666" s="2" t="inlineStr">
        <is>
          <t>Видеокарты</t>
        </is>
      </c>
      <c r="B666" s="2" t="inlineStr">
        <is>
          <t>MSI</t>
        </is>
      </c>
      <c r="C666" s="2" t="inlineStr">
        <is>
          <t>RTX 3050 VENTUS 2X XS 8G OC</t>
        </is>
      </c>
      <c r="D666" s="2" t="inlineStr">
        <is>
          <t>Видеокарта MSI RTX3050 VENTUS 2X XS 8GB OC GDDR6 128-bit DP HDMI DL-DVI-D 2FAN RTL </t>
        </is>
      </c>
      <c r="E666" s="2">
        <v>20</v>
      </c>
      <c r="F666" s="2">
        <v>20</v>
      </c>
      <c r="H666" s="2">
        <v>339</v>
      </c>
      <c r="I666" s="2" t="inlineStr">
        <is>
          <t>$</t>
        </is>
      </c>
      <c r="J666" s="2">
        <f>HYPERLINK("https://app.astro.lead-studio.pro/product/07f0f85e-8a6a-4221-884c-d1d3aec6c9c0")</f>
      </c>
    </row>
    <row r="667" spans="1:10" customHeight="0">
      <c r="A667" s="2" t="inlineStr">
        <is>
          <t>Видеокарты</t>
        </is>
      </c>
      <c r="B667" s="2" t="inlineStr">
        <is>
          <t>MSI</t>
        </is>
      </c>
      <c r="C667" s="2" t="inlineStr">
        <is>
          <t>RTX 3060 GAMING 12G</t>
        </is>
      </c>
      <c r="D667" s="2" t="inlineStr">
        <is>
          <t>Видеокарта MSI RTX3060 GAMING 12GB GDDR6 192-bit HDMI 3xDP (808051)</t>
        </is>
      </c>
      <c r="E667" s="2">
        <v>20</v>
      </c>
      <c r="F667" s="2">
        <v>20</v>
      </c>
      <c r="H667" s="2">
        <v>416</v>
      </c>
      <c r="I667" s="2" t="inlineStr">
        <is>
          <t>$</t>
        </is>
      </c>
      <c r="J667" s="2">
        <f>HYPERLINK("https://app.astro.lead-studio.pro/product/9b585a06-ed1b-424d-980b-9a5273054b3a")</f>
      </c>
    </row>
    <row r="668" spans="1:10" customHeight="0">
      <c r="A668" s="2" t="inlineStr">
        <is>
          <t>Видеокарты</t>
        </is>
      </c>
      <c r="B668" s="2" t="inlineStr">
        <is>
          <t>MSI</t>
        </is>
      </c>
      <c r="C668" s="2" t="inlineStr">
        <is>
          <t>RTX 3060 GAMING X 12G</t>
        </is>
      </c>
      <c r="D668" s="2" t="inlineStr">
        <is>
          <t>Видеокарта MSI RTX3060 GAMING X 12GB GDDR6 192bit HDMI 3xDP LHR RTL (796327)</t>
        </is>
      </c>
      <c r="E668" s="2">
        <v>20</v>
      </c>
      <c r="F668" s="2">
        <v>20</v>
      </c>
      <c r="H668" s="2">
        <v>427</v>
      </c>
      <c r="I668" s="2" t="inlineStr">
        <is>
          <t>$</t>
        </is>
      </c>
      <c r="J668" s="2">
        <f>HYPERLINK("https://app.astro.lead-studio.pro/product/5416bb9f-2c56-4d36-b123-df530b7ba9ef")</f>
      </c>
    </row>
    <row r="669" spans="1:10" customHeight="0">
      <c r="A669" s="2" t="inlineStr">
        <is>
          <t>Видеокарты</t>
        </is>
      </c>
      <c r="B669" s="2" t="inlineStr">
        <is>
          <t>Colorful</t>
        </is>
      </c>
      <c r="C669" s="2" t="inlineStr">
        <is>
          <t>RTX 3060 NB DUO 12G V2 L-V</t>
        </is>
      </c>
      <c r="D669" s="2" t="inlineStr">
        <is>
          <t>Видеокарта Colorful RTX3060 NB DUO 12G V2 L-V 12GB GDDR6 192bit HDMI 3xDP LHR {10} (596073)</t>
        </is>
      </c>
      <c r="E669" s="2">
        <v>1</v>
      </c>
      <c r="F669" s="2">
        <v>1</v>
      </c>
      <c r="H669" s="2">
        <v>376</v>
      </c>
      <c r="I669" s="2" t="inlineStr">
        <is>
          <t>$</t>
        </is>
      </c>
      <c r="J669" s="2">
        <f>HYPERLINK("https://app.astro.lead-studio.pro/product/c338b19b-b2f1-4b8c-a83a-e6f19ffd4dcf")</f>
      </c>
    </row>
    <row r="670" spans="1:10" customHeight="0">
      <c r="A670" s="2" t="inlineStr">
        <is>
          <t>Видеокарты</t>
        </is>
      </c>
      <c r="B670" s="2" t="inlineStr">
        <is>
          <t>MSI</t>
        </is>
      </c>
      <c r="C670" s="2" t="inlineStr">
        <is>
          <t>RTX 4060 GAMING 8G</t>
        </is>
      </c>
      <c r="D670" s="2" t="inlineStr">
        <is>
          <t>Видеокарта MSI RTX4060 GAMING 8GB RTL </t>
        </is>
      </c>
      <c r="E670" s="2">
        <v>1</v>
      </c>
      <c r="F670" s="2">
        <v>1</v>
      </c>
      <c r="H670" s="2">
        <v>451</v>
      </c>
      <c r="I670" s="2" t="inlineStr">
        <is>
          <t>$</t>
        </is>
      </c>
      <c r="J670" s="2">
        <f>HYPERLINK("https://app.astro.lead-studio.pro/product/1af605f9-6726-46d5-b375-95c89ec24664")</f>
      </c>
    </row>
    <row r="671" spans="1:10" customHeight="0">
      <c r="A671" s="2" t="inlineStr">
        <is>
          <t>Видеокарты</t>
        </is>
      </c>
      <c r="B671" s="2" t="inlineStr">
        <is>
          <t>MSI</t>
        </is>
      </c>
      <c r="C671" s="2" t="inlineStr">
        <is>
          <t>RTX 4060 GAMING X 8G</t>
        </is>
      </c>
      <c r="D671" s="2" t="inlineStr">
        <is>
          <t>Видеокарта MSI RTX4060 GAMING X 8GB GDDR6 128-bit DPx3 HDMI ATX 2FAN </t>
        </is>
      </c>
      <c r="E671" s="2">
        <v>1</v>
      </c>
      <c r="F671" s="2">
        <v>1</v>
      </c>
      <c r="H671" s="2">
        <v>469</v>
      </c>
      <c r="I671" s="2" t="inlineStr">
        <is>
          <t>$</t>
        </is>
      </c>
      <c r="J671" s="2">
        <f>HYPERLINK("https://app.astro.lead-studio.pro/product/28cd8318-33b6-43bf-9cc5-826eb6ed8e6a")</f>
      </c>
    </row>
    <row r="672" spans="1:10" customHeight="0">
      <c r="A672" s="2" t="inlineStr">
        <is>
          <t>Видеокарты</t>
        </is>
      </c>
      <c r="B672" s="2" t="inlineStr">
        <is>
          <t>MSI</t>
        </is>
      </c>
      <c r="C672" s="2" t="inlineStr">
        <is>
          <t>RTX 4060 GAMING X 8G||bp</t>
        </is>
      </c>
      <c r="D672" s="2" t="inlineStr">
        <is>
          <t>Видеокарта MSI Bad Pack RTX4060 GAMING X 8GB GDDR6 128-bit DPx3 HDMI ATX 2FAN </t>
        </is>
      </c>
      <c r="E672" s="2">
        <v>1</v>
      </c>
      <c r="F672" s="2">
        <v>1</v>
      </c>
      <c r="H672" s="2">
        <v>436</v>
      </c>
      <c r="I672" s="2" t="inlineStr">
        <is>
          <t>$</t>
        </is>
      </c>
      <c r="J672" s="2">
        <f>HYPERLINK("https://app.astro.lead-studio.pro/product/92670a82-240e-46fc-99b5-80b8fa7b13da")</f>
      </c>
    </row>
    <row r="673" spans="1:10" customHeight="0">
      <c r="A673" s="2" t="inlineStr">
        <is>
          <t>Видеокарты</t>
        </is>
      </c>
      <c r="B673" s="2" t="inlineStr">
        <is>
          <t>Colorful</t>
        </is>
      </c>
      <c r="C673" s="2" t="inlineStr">
        <is>
          <t>RTX 4060 NB DUO 8GB-V</t>
        </is>
      </c>
      <c r="D673" s="2" t="inlineStr">
        <is>
          <t>Видеокарта Colorful RTX4060 NB DUO 8GB-V GDDR6 128bit 3xDP HDMI 2FAN </t>
        </is>
      </c>
      <c r="E673" s="2">
        <v>100</v>
      </c>
      <c r="F673" s="2">
        <v>100</v>
      </c>
      <c r="H673" s="2">
        <v>396</v>
      </c>
      <c r="I673" s="2" t="inlineStr">
        <is>
          <t>$</t>
        </is>
      </c>
      <c r="J673" s="2">
        <f>HYPERLINK("https://app.astro.lead-studio.pro/product/8b574a62-01c8-47fa-bec8-2e20e42418e0")</f>
      </c>
    </row>
    <row r="674" spans="1:10" customHeight="0">
      <c r="A674" s="2" t="inlineStr">
        <is>
          <t>Видеокарты</t>
        </is>
      </c>
      <c r="B674" s="2" t="inlineStr">
        <is>
          <t>MSI</t>
        </is>
      </c>
      <c r="C674" s="2" t="inlineStr">
        <is>
          <t>RTX 4060 Ti GAMING SLIM 8G||bp</t>
        </is>
      </c>
      <c r="D674" s="2" t="inlineStr">
        <is>
          <t>Видеокарта MSI Bad Pack RTX4060Ti GAMING SLIM 8GB GDDR6 128bit 3xDP HDMI 3FAN RTL bp</t>
        </is>
      </c>
      <c r="E674" s="2">
        <v>4</v>
      </c>
      <c r="F674" s="2">
        <v>4</v>
      </c>
      <c r="H674" s="2">
        <v>566</v>
      </c>
      <c r="I674" s="2" t="inlineStr">
        <is>
          <t>$</t>
        </is>
      </c>
      <c r="J674" s="2">
        <f>HYPERLINK("https://app.astro.lead-studio.pro/product/867c9cc9-ea58-4bce-9673-a5b37dce66be")</f>
      </c>
    </row>
    <row r="675" spans="1:10" customHeight="0">
      <c r="A675" s="2" t="inlineStr">
        <is>
          <t>Видеокарты</t>
        </is>
      </c>
      <c r="B675" s="2" t="inlineStr">
        <is>
          <t>MSI</t>
        </is>
      </c>
      <c r="C675" s="2" t="inlineStr">
        <is>
          <t>RTX 4060 VENTUS 2X BLACK 8G OC</t>
        </is>
      </c>
      <c r="D675" s="2" t="inlineStr">
        <is>
          <t>Видеокарта MSI RTX4060 VENTUS 2X BLACK 8GB OC GDDR6 128-bit DPx3 HDMI ATX 2FAN </t>
        </is>
      </c>
      <c r="E675" s="2">
        <v>100</v>
      </c>
      <c r="F675" s="2">
        <v>100</v>
      </c>
      <c r="H675" s="2">
        <v>423</v>
      </c>
      <c r="I675" s="2" t="inlineStr">
        <is>
          <t>$</t>
        </is>
      </c>
      <c r="J675" s="2">
        <f>HYPERLINK("https://app.astro.lead-studio.pro/product/4dc21f4d-4c57-4823-a3b3-b38ff9eb3a77")</f>
      </c>
    </row>
    <row r="676" spans="1:10" customHeight="0">
      <c r="A676" s="2" t="inlineStr">
        <is>
          <t>Видеокарты</t>
        </is>
      </c>
      <c r="B676" s="2" t="inlineStr">
        <is>
          <t>MSI</t>
        </is>
      </c>
      <c r="C676" s="2" t="inlineStr">
        <is>
          <t>RTX 4070 Ti SUPER 16G SHADOW 3X OC</t>
        </is>
      </c>
      <c r="D676" s="2" t="inlineStr">
        <is>
          <t>Видеокарта MSI RTX4070Ti SUPER SHADOW 3X OC 16GB GDDR6X 256bit 3xDP HDMI 3FAN RTL</t>
        </is>
      </c>
      <c r="E676" s="2">
        <v>9</v>
      </c>
      <c r="F676" s="2">
        <v>9</v>
      </c>
      <c r="H676" s="2">
        <v>1260</v>
      </c>
      <c r="I676" s="2" t="inlineStr">
        <is>
          <t>$</t>
        </is>
      </c>
      <c r="J676" s="2">
        <f>HYPERLINK("https://app.astro.lead-studio.pro/product/3b6b03d5-b557-490d-8b5d-53844eba699b")</f>
      </c>
    </row>
    <row r="677" spans="1:10" customHeight="0">
      <c r="A677" s="2" t="inlineStr">
        <is>
          <t>Видеокарты</t>
        </is>
      </c>
      <c r="B677" s="2" t="inlineStr">
        <is>
          <t>MSI</t>
        </is>
      </c>
      <c r="C677" s="2" t="inlineStr">
        <is>
          <t>RTX 4070 Ti SUPER 16G VENTUS 3X OC</t>
        </is>
      </c>
      <c r="D677" s="2" t="inlineStr">
        <is>
          <t>Видеокарта MSI RTX4070Ti SUPER 16G VENTUS 3X OC 16GB GDDR6X 256bit 3xDP HDMI 3FAN RTL</t>
        </is>
      </c>
      <c r="E677" s="2">
        <v>9</v>
      </c>
      <c r="F677" s="2">
        <v>9</v>
      </c>
      <c r="H677" s="2">
        <v>1222</v>
      </c>
      <c r="I677" s="2" t="inlineStr">
        <is>
          <t>$</t>
        </is>
      </c>
      <c r="J677" s="2">
        <f>HYPERLINK("https://app.astro.lead-studio.pro/product/57b33259-2fa8-48e0-aa03-d4c281697a34")</f>
      </c>
    </row>
    <row r="678" spans="1:10" customHeight="0">
      <c r="A678" s="2" t="inlineStr">
        <is>
          <t>Видеокарты</t>
        </is>
      </c>
      <c r="B678" s="2" t="inlineStr">
        <is>
          <t>MSI</t>
        </is>
      </c>
      <c r="C678" s="2" t="inlineStr">
        <is>
          <t>RTX 4070 Ti VENTUS 3X E1 12G OC</t>
        </is>
      </c>
      <c r="D678" s="2" t="inlineStr">
        <is>
          <t>Видеокарта MSI RTX4070Ti VENTUS 3X E1 12GB OC RTL </t>
        </is>
      </c>
      <c r="E678" s="2">
        <v>20</v>
      </c>
      <c r="F678" s="2">
        <v>20</v>
      </c>
      <c r="H678" s="2">
        <v>1066</v>
      </c>
      <c r="I678" s="2" t="inlineStr">
        <is>
          <t>$</t>
        </is>
      </c>
      <c r="J678" s="2">
        <f>HYPERLINK("https://app.astro.lead-studio.pro/product/d9cd4359-3509-40fb-aab3-ae086b2f2fb6")</f>
      </c>
    </row>
    <row r="679" spans="1:10" customHeight="0">
      <c r="A679" s="2" t="inlineStr">
        <is>
          <t>Видеокарты</t>
        </is>
      </c>
      <c r="B679" s="2" t="inlineStr">
        <is>
          <t>MSI</t>
        </is>
      </c>
      <c r="C679" s="2" t="inlineStr">
        <is>
          <t>RTX 4070 VENTUS 2X 12G OC||bp</t>
        </is>
      </c>
      <c r="D679" s="2" t="inlineStr">
        <is>
          <t>Видеокарта MSI Bad Pack RTX4070 VENTUS 2X 12GB OC GDDR6X 192-bit DPx3 HDMI </t>
        </is>
      </c>
      <c r="E679" s="2">
        <v>1</v>
      </c>
      <c r="F679" s="2">
        <v>1</v>
      </c>
      <c r="H679" s="2">
        <v>753</v>
      </c>
      <c r="I679" s="2" t="inlineStr">
        <is>
          <t>$</t>
        </is>
      </c>
      <c r="J679" s="2">
        <f>HYPERLINK("https://app.astro.lead-studio.pro/product/acc247e2-3344-45b9-8222-6603b3e03d80")</f>
      </c>
    </row>
    <row r="680" spans="1:10" customHeight="0">
      <c r="A680" s="2" t="inlineStr">
        <is>
          <t>Видеокарты</t>
        </is>
      </c>
      <c r="B680" s="2" t="inlineStr">
        <is>
          <t>MSI</t>
        </is>
      </c>
      <c r="C680" s="2" t="inlineStr">
        <is>
          <t>RTX 4070 VENTUS 3X E 12G OC</t>
        </is>
      </c>
      <c r="D680" s="2" t="inlineStr">
        <is>
          <t>Видеокарта MSI RTX4070 VENTUS 3X E 12GB OC GDDR6X 192-bit HDMI DPx3 3FAN RTL </t>
        </is>
      </c>
      <c r="E680" s="2">
        <v>20</v>
      </c>
      <c r="F680" s="2">
        <v>20</v>
      </c>
      <c r="H680" s="2">
        <v>844</v>
      </c>
      <c r="I680" s="2" t="inlineStr">
        <is>
          <t>$</t>
        </is>
      </c>
      <c r="J680" s="2">
        <f>HYPERLINK("https://app.astro.lead-studio.pro/product/0325f7be-2a58-497d-9c83-99b1b394184d")</f>
      </c>
    </row>
    <row r="681" spans="1:10" customHeight="0">
      <c r="A681" s="2" t="inlineStr">
        <is>
          <t>Видеокарты</t>
        </is>
      </c>
      <c r="B681" s="2" t="inlineStr">
        <is>
          <t>Zotac</t>
        </is>
      </c>
      <c r="C681" s="2" t="inlineStr">
        <is>
          <t>ZT-A30600H-10M</t>
        </is>
      </c>
      <c r="D681" s="2" t="inlineStr">
        <is>
          <t>Видеокарта Zotac RTX3060 Twin Edge OC 12GB GDDR6 192bit DVI HDMI 3xDP LHR RTL {10} (622830) (ZT-A30600H-10M)</t>
        </is>
      </c>
      <c r="E681" s="2">
        <v>98</v>
      </c>
      <c r="F681" s="2">
        <v>98</v>
      </c>
      <c r="H681" s="2">
        <v>392</v>
      </c>
      <c r="I681" s="2" t="inlineStr">
        <is>
          <t>$</t>
        </is>
      </c>
      <c r="J681" s="2">
        <f>HYPERLINK("https://app.astro.lead-studio.pro/product/5d0bbeb3-eaaa-46aa-85fc-b2666998e3de")</f>
      </c>
    </row>
    <row r="682" spans="1:10" customHeight="0">
      <c r="A682" s="2" t="inlineStr">
        <is>
          <t>Видеокарты</t>
        </is>
      </c>
      <c r="B682" s="2" t="inlineStr">
        <is>
          <t>Zotac</t>
        </is>
      </c>
      <c r="C682" s="2" t="inlineStr">
        <is>
          <t>ZT-D40700D-10P</t>
        </is>
      </c>
      <c r="D682" s="2" t="inlineStr">
        <is>
          <t>Видеокарта Zotac RTX4070 Trinity 12GB GDDR6X 192bit 3xDP HDMI 3FAN Premium Pack</t>
        </is>
      </c>
      <c r="E682" s="2">
        <v>26</v>
      </c>
      <c r="F682" s="2">
        <v>26</v>
      </c>
      <c r="H682" s="2">
        <v>824</v>
      </c>
      <c r="I682" s="2" t="inlineStr">
        <is>
          <t>$</t>
        </is>
      </c>
      <c r="J682" s="2">
        <f>HYPERLINK("https://app.astro.lead-studio.pro/product/3c560120-3691-416b-8c70-602a6bfadcd0")</f>
      </c>
    </row>
    <row r="683" spans="1:10" customHeight="0">
      <c r="A683" s="2" t="inlineStr">
        <is>
          <t>Видеокарты</t>
        </is>
      </c>
      <c r="B683" s="2" t="inlineStr">
        <is>
          <t>Zotac</t>
        </is>
      </c>
      <c r="C683" s="2" t="inlineStr">
        <is>
          <t>ZT-D40730F-10P</t>
        </is>
      </c>
      <c r="D683" s="2" t="inlineStr">
        <is>
          <t>RTX4070Ti SUPER AMP HOLO</t>
        </is>
      </c>
      <c r="E683" s="2">
        <v>51</v>
      </c>
      <c r="F683" s="2">
        <v>51</v>
      </c>
      <c r="H683" s="2">
        <v>1269</v>
      </c>
      <c r="I683" s="2" t="inlineStr">
        <is>
          <t>$</t>
        </is>
      </c>
      <c r="J683" s="2">
        <f>HYPERLINK("https://app.astro.lead-studio.pro/product/b28955d4-7d1c-45f1-805e-f16c7fd5b4c1")</f>
      </c>
    </row>
    <row r="684" spans="1:10" customHeight="0">
      <c r="A684" s="2" t="inlineStr">
        <is>
          <t>Внешние жесткие диски (HDD)</t>
        </is>
      </c>
      <c r="B684" s="2" t="inlineStr">
        <is>
          <t>Seagate</t>
        </is>
      </c>
      <c r="C684" s="2" t="inlineStr">
        <is>
          <t>STLC12000400</t>
        </is>
      </c>
      <c r="D684" s="2" t="inlineStr">
        <is>
          <t>Жесткий диск внешний Seagate One Touch Desktop Hub STLC12000400 12ТБ (042166)</t>
        </is>
      </c>
      <c r="E684" s="2">
        <v>37</v>
      </c>
      <c r="F684" s="2">
        <v>37</v>
      </c>
      <c r="H684" s="2">
        <v>345</v>
      </c>
      <c r="I684" s="2" t="inlineStr">
        <is>
          <t>$</t>
        </is>
      </c>
      <c r="J684" s="2">
        <f>HYPERLINK("https://app.astro.lead-studio.pro/product/eb4592a5-f8dd-4210-b32a-d5d042123585")</f>
      </c>
    </row>
    <row r="685" spans="1:10" customHeight="0">
      <c r="A685" s="2" t="inlineStr">
        <is>
          <t>Внешние жесткие диски (HDD)</t>
        </is>
      </c>
      <c r="B685" s="2" t="inlineStr">
        <is>
          <t>Seagate</t>
        </is>
      </c>
      <c r="C685" s="2" t="inlineStr">
        <is>
          <t>STLC14000400</t>
        </is>
      </c>
      <c r="D685" s="2" t="inlineStr">
        <is>
          <t>Жесткий диск внешний Seagate One Touch Desktop Hub STLC14000400 14ТБ (042173)</t>
        </is>
      </c>
      <c r="E685" s="2">
        <v>40</v>
      </c>
      <c r="F685" s="2">
        <v>40</v>
      </c>
      <c r="H685" s="2">
        <v>404</v>
      </c>
      <c r="I685" s="2" t="inlineStr">
        <is>
          <t>$</t>
        </is>
      </c>
      <c r="J685" s="2">
        <f>HYPERLINK("https://app.astro.lead-studio.pro/product/f2805660-171f-4227-94de-24d058e28004")</f>
      </c>
    </row>
    <row r="686" spans="1:10" customHeight="0">
      <c r="A686" s="2" t="inlineStr">
        <is>
          <t>Внешние жесткие диски (HDD)</t>
        </is>
      </c>
      <c r="B686" s="2" t="inlineStr">
        <is>
          <t>Seagate</t>
        </is>
      </c>
      <c r="C686" s="2" t="inlineStr">
        <is>
          <t>STLC16000400</t>
        </is>
      </c>
      <c r="D686" s="2" t="inlineStr">
        <is>
          <t>Жесткий диск внешний Seagate One Touch Desktop Hub STLC16000400 16ТБ (042180)</t>
        </is>
      </c>
      <c r="E686" s="2">
        <v>36</v>
      </c>
      <c r="F686" s="2">
        <v>36</v>
      </c>
      <c r="H686" s="2">
        <v>424</v>
      </c>
      <c r="I686" s="2" t="inlineStr">
        <is>
          <t>$</t>
        </is>
      </c>
      <c r="J686" s="2">
        <f>HYPERLINK("https://app.astro.lead-studio.pro/product/51a841b0-96e9-44da-b435-7ace8994510e")</f>
      </c>
    </row>
    <row r="687" spans="1:10" customHeight="0">
      <c r="A687" s="2" t="inlineStr">
        <is>
          <t>Внешние жесткие диски (HDD)</t>
        </is>
      </c>
      <c r="B687" s="2" t="inlineStr">
        <is>
          <t>Seagate</t>
        </is>
      </c>
      <c r="C687" s="2" t="inlineStr">
        <is>
          <t>STLC18000402</t>
        </is>
      </c>
      <c r="D687" s="2" t="inlineStr">
        <is>
          <t>Жесткий диск внешний Seagate One Touch Desktop Hub STLC18000402 18ТБ (043755)</t>
        </is>
      </c>
      <c r="E687" s="2">
        <v>16</v>
      </c>
      <c r="F687" s="2">
        <v>16</v>
      </c>
      <c r="H687" s="2">
        <v>486</v>
      </c>
      <c r="I687" s="2" t="inlineStr">
        <is>
          <t>$</t>
        </is>
      </c>
      <c r="J687" s="2">
        <f>HYPERLINK("https://app.astro.lead-studio.pro/product/315abd4c-7a2f-493a-acbf-0339bf151b6e")</f>
      </c>
    </row>
    <row r="688" spans="1:10" customHeight="0">
      <c r="A688" s="2" t="inlineStr">
        <is>
          <t>Внешние жесткие диски (HDD)</t>
        </is>
      </c>
      <c r="B688" s="2" t="inlineStr">
        <is>
          <t>Seagate</t>
        </is>
      </c>
      <c r="C688" s="2" t="inlineStr">
        <is>
          <t>STKP12000400</t>
        </is>
      </c>
      <c r="D688" s="2" t="inlineStr">
        <is>
          <t>Жесткий диск внешний Seagate Expansion Black STKP12000400 12TB 3.5" USB 3.0, Black, RTL (040445)</t>
        </is>
      </c>
      <c r="E688" s="2">
        <v>31</v>
      </c>
      <c r="F688" s="2">
        <v>31</v>
      </c>
      <c r="H688" s="2">
        <v>342</v>
      </c>
      <c r="I688" s="2" t="inlineStr">
        <is>
          <t>$</t>
        </is>
      </c>
      <c r="J688" s="2">
        <f>HYPERLINK("https://app.astro.lead-studio.pro/product/9e49a033-704a-41d4-99a1-51a9d20efe9d")</f>
      </c>
    </row>
    <row r="689" spans="1:10" customHeight="0">
      <c r="A689" s="2" t="inlineStr">
        <is>
          <t>Внешние жесткие диски (HDD)</t>
        </is>
      </c>
      <c r="B689" s="2" t="inlineStr">
        <is>
          <t>Seagate</t>
        </is>
      </c>
      <c r="C689" s="2" t="inlineStr">
        <is>
          <t>STKP16000400</t>
        </is>
      </c>
      <c r="D689" s="2" t="inlineStr">
        <is>
          <t>Жесткий диск внешний Seagate Expansion Black 16TB 3.5" STKP16000400 USB 3.0, RTL (040469)</t>
        </is>
      </c>
      <c r="E689" s="2">
        <v>26</v>
      </c>
      <c r="F689" s="2">
        <v>26</v>
      </c>
      <c r="H689" s="2">
        <v>405</v>
      </c>
      <c r="I689" s="2" t="inlineStr">
        <is>
          <t>$</t>
        </is>
      </c>
      <c r="J689" s="2">
        <f>HYPERLINK("https://app.astro.lead-studio.pro/product/08c07524-19bb-449f-8db5-1105ddfa6b4f")</f>
      </c>
    </row>
    <row r="690" spans="1:10" customHeight="0">
      <c r="A690" s="2" t="inlineStr">
        <is>
          <t>Внешние жесткие диски (HDD)</t>
        </is>
      </c>
      <c r="B690" s="2" t="inlineStr">
        <is>
          <t>Seagate</t>
        </is>
      </c>
      <c r="C690" s="2" t="inlineStr">
        <is>
          <t>STLC10000400</t>
        </is>
      </c>
      <c r="D690" s="2" t="inlineStr">
        <is>
          <t>Жесткий диск внешний Seagate STLC10000400 10TB 3.5" USB 3.2 Gen1 (USB 3.0, USB 3.1 Gen1) Type-C, черный (042159)</t>
        </is>
      </c>
      <c r="E690" s="2">
        <v>10</v>
      </c>
      <c r="F690" s="2">
        <v>10</v>
      </c>
      <c r="H690" s="2">
        <v>324</v>
      </c>
      <c r="I690" s="2" t="inlineStr">
        <is>
          <t>$</t>
        </is>
      </c>
      <c r="J690" s="2">
        <f>HYPERLINK("https://app.astro.lead-studio.pro/product/c29a859b-952c-421a-90cb-c7d76035e06d")</f>
      </c>
    </row>
    <row r="691" spans="1:10" customHeight="0">
      <c r="A691" s="2" t="inlineStr">
        <is>
          <t>Внешние жесткие диски (HDD)</t>
        </is>
      </c>
      <c r="B691" s="2" t="inlineStr">
        <is>
          <t>Western Digital</t>
        </is>
      </c>
      <c r="C691" s="2" t="inlineStr">
        <is>
          <t>WDBBGB0120HBK-EESN</t>
        </is>
      </c>
      <c r="D691" s="2" t="inlineStr">
        <is>
          <t>Жесткий диск внешний WD My Book (New) WDBBGB0120HBK-EESN 12ТБ 3,5" 5400RPM USB 3.0 (E4C)</t>
        </is>
      </c>
      <c r="E691" s="2">
        <v>8</v>
      </c>
      <c r="F691" s="2">
        <v>8</v>
      </c>
      <c r="H691" s="2">
        <v>351</v>
      </c>
      <c r="I691" s="2" t="inlineStr">
        <is>
          <t>$</t>
        </is>
      </c>
      <c r="J691" s="2">
        <f>HYPERLINK("https://app.astro.lead-studio.pro/product/df7b35fb-33a3-44e4-8301-ca933390dede")</f>
      </c>
    </row>
    <row r="692" spans="1:10" customHeight="0">
      <c r="A692" s="2" t="inlineStr">
        <is>
          <t>Внешние жесткие диски (HDD)</t>
        </is>
      </c>
      <c r="B692" s="2" t="inlineStr">
        <is>
          <t>Western Digital</t>
        </is>
      </c>
      <c r="C692" s="2" t="inlineStr">
        <is>
          <t>WDBBGB0140HBK-EESN</t>
        </is>
      </c>
      <c r="D692" s="2" t="inlineStr">
        <is>
          <t>Жесткий диск внешний WD My Book (New) WDBBGB0120HBK-EESN 12ТБ 3,5" 5400RPM USB 3.0 (E4C)</t>
        </is>
      </c>
      <c r="E692" s="2">
        <v>19</v>
      </c>
      <c r="F692" s="2">
        <v>19</v>
      </c>
      <c r="H692" s="2">
        <v>408</v>
      </c>
      <c r="I692" s="2" t="inlineStr">
        <is>
          <t>$</t>
        </is>
      </c>
      <c r="J692" s="2">
        <f>HYPERLINK("https://app.astro.lead-studio.pro/product/2c08a79c-2f46-4577-99a6-42ad14b0987e")</f>
      </c>
    </row>
    <row r="693" spans="1:10" customHeight="0">
      <c r="A693" s="2" t="inlineStr">
        <is>
          <t>Внешние жесткие диски (HDD)</t>
        </is>
      </c>
      <c r="B693" s="2" t="inlineStr">
        <is>
          <t>Western Digital</t>
        </is>
      </c>
      <c r="C693" s="2" t="inlineStr">
        <is>
          <t>WDBBGB0160HBK-EESN</t>
        </is>
      </c>
      <c r="D693" s="2" t="inlineStr">
        <is>
          <t>Жесткий диск внешний WD My Book (New) WDBBGB0160HBK-EESN 16ТБ 3,5" 5400RPM USB 2.0/USB 3.0 (E4C)</t>
        </is>
      </c>
      <c r="E693" s="2">
        <v>18</v>
      </c>
      <c r="F693" s="2">
        <v>18</v>
      </c>
      <c r="H693" s="2">
        <v>452</v>
      </c>
      <c r="I693" s="2" t="inlineStr">
        <is>
          <t>$</t>
        </is>
      </c>
      <c r="J693" s="2">
        <f>HYPERLINK("https://app.astro.lead-studio.pro/product/2a232c9d-f997-4621-a92f-388dfd99d415")</f>
      </c>
    </row>
    <row r="694" spans="1:10" customHeight="0">
      <c r="A694" s="2" t="inlineStr">
        <is>
          <t>Внешние жесткие диски (HDD)</t>
        </is>
      </c>
      <c r="B694" s="2" t="inlineStr">
        <is>
          <t>Western Digital</t>
        </is>
      </c>
      <c r="C694" s="2" t="inlineStr">
        <is>
          <t>WDBBGB0180HBK-EESN</t>
        </is>
      </c>
      <c r="D694" s="2" t="inlineStr">
        <is>
          <t>Жесткий диск внешний WD My Book (New) WDBBGB0180HBK-EESN 18ТБ 3,5" 5400RPM USB 2.0/USB 3.0 (E4C)</t>
        </is>
      </c>
      <c r="E694" s="2">
        <v>19</v>
      </c>
      <c r="F694" s="2">
        <v>19</v>
      </c>
      <c r="H694" s="2">
        <v>494</v>
      </c>
      <c r="I694" s="2" t="inlineStr">
        <is>
          <t>$</t>
        </is>
      </c>
      <c r="J694" s="2">
        <f>HYPERLINK("https://app.astro.lead-studio.pro/product/9875207a-e125-4111-9227-bf9f97d78a46")</f>
      </c>
    </row>
    <row r="695" spans="1:10" customHeight="0">
      <c r="A695" s="2" t="inlineStr">
        <is>
          <t>Внешние жесткие диски (HDD)</t>
        </is>
      </c>
      <c r="B695" s="2" t="inlineStr">
        <is>
          <t>Western Digital</t>
        </is>
      </c>
      <c r="C695" s="2" t="inlineStr">
        <is>
          <t>WDBWLG0100HBK-EESN</t>
        </is>
      </c>
      <c r="D695" s="2" t="inlineStr">
        <is>
          <t>Жесткий диск внешний WD Elements DesktopWDBWLG0100HBK-EESN 10ТБ 3,5" 5400RPM USB 3.0 (G4C) (864648)</t>
        </is>
      </c>
      <c r="E695" s="2">
        <v>20</v>
      </c>
      <c r="F695" s="2">
        <v>20</v>
      </c>
      <c r="H695" s="2">
        <v>338</v>
      </c>
      <c r="I695" s="2" t="inlineStr">
        <is>
          <t>$</t>
        </is>
      </c>
      <c r="J695" s="2">
        <f>HYPERLINK("https://app.astro.lead-studio.pro/product/8e99a77e-3def-4d45-8deb-d4c4d934907e")</f>
      </c>
    </row>
    <row r="696" spans="1:10" customHeight="0">
      <c r="A696" s="2" t="inlineStr">
        <is>
          <t>Внешние жесткие диски (HDD)</t>
        </is>
      </c>
      <c r="B696" s="2" t="inlineStr">
        <is>
          <t>Western Digital</t>
        </is>
      </c>
      <c r="C696" s="2" t="inlineStr">
        <is>
          <t>WDBWLG0120HBK-EESN</t>
        </is>
      </c>
      <c r="D696" s="2" t="inlineStr">
        <is>
          <t>Жесткий диск внешний WD Elements Desktop WDBWLG0120HBK-EESN 12ТБ 3,5" 5400RPM USB 3.0 (G4C) (872155)</t>
        </is>
      </c>
      <c r="E696" s="2">
        <v>29</v>
      </c>
      <c r="F696" s="2">
        <v>29</v>
      </c>
      <c r="H696" s="2">
        <v>393</v>
      </c>
      <c r="I696" s="2" t="inlineStr">
        <is>
          <t>$</t>
        </is>
      </c>
      <c r="J696" s="2">
        <f>HYPERLINK("https://app.astro.lead-studio.pro/product/46af2d56-7baa-4a49-8964-412d9665cb28")</f>
      </c>
    </row>
    <row r="697" spans="1:10" customHeight="0">
      <c r="A697" s="2" t="inlineStr">
        <is>
          <t>Внешние жесткие диски (HDD)</t>
        </is>
      </c>
      <c r="B697" s="2" t="inlineStr">
        <is>
          <t>Western Digital</t>
        </is>
      </c>
      <c r="C697" s="2" t="inlineStr">
        <is>
          <t>WDBWLG0140HBK-EESN</t>
        </is>
      </c>
      <c r="D697" s="2" t="inlineStr">
        <is>
          <t>Жесткий диск внешний WD Elements Desktop WDBWLG0140HBK-EESN 14ТБ 3,5" 5400RPM USB 3.0 (G4C) (872971)</t>
        </is>
      </c>
      <c r="E697" s="2">
        <v>42</v>
      </c>
      <c r="F697" s="2">
        <v>42</v>
      </c>
      <c r="H697" s="2">
        <v>430</v>
      </c>
      <c r="I697" s="2" t="inlineStr">
        <is>
          <t>$</t>
        </is>
      </c>
      <c r="J697" s="2">
        <f>HYPERLINK("https://app.astro.lead-studio.pro/product/ada18022-5e5e-4b41-bb0e-126fbda22796")</f>
      </c>
    </row>
    <row r="698" spans="1:10" customHeight="0">
      <c r="A698" s="2" t="inlineStr">
        <is>
          <t>Внешние жесткие диски (HDD)</t>
        </is>
      </c>
      <c r="B698" s="2" t="inlineStr">
        <is>
          <t>Western Digital</t>
        </is>
      </c>
      <c r="C698" s="2" t="inlineStr">
        <is>
          <t>WDBWLG0160HBK-EESN</t>
        </is>
      </c>
      <c r="D698" s="2" t="inlineStr">
        <is>
          <t>Жесткий диск внешний WD Elements Desktop WDBWLG0160HBK-EESN 16ТБ 3,5" 5400RPM USB 3.0 (G4C) (878904)</t>
        </is>
      </c>
      <c r="E698" s="2">
        <v>14</v>
      </c>
      <c r="F698" s="2">
        <v>14</v>
      </c>
      <c r="H698" s="2">
        <v>486</v>
      </c>
      <c r="I698" s="2" t="inlineStr">
        <is>
          <t>$</t>
        </is>
      </c>
      <c r="J698" s="2">
        <f>HYPERLINK("https://app.astro.lead-studio.pro/product/f4ca7092-2724-4948-aed3-e5f94f9bd4ed")</f>
      </c>
    </row>
    <row r="699" spans="1:10" customHeight="0">
      <c r="A699" s="2" t="inlineStr">
        <is>
          <t>Внешние жесткие диски (HDD)</t>
        </is>
      </c>
      <c r="B699" s="2" t="inlineStr">
        <is>
          <t>Western Digital</t>
        </is>
      </c>
      <c r="C699" s="2" t="inlineStr">
        <is>
          <t>WDBWLG0180HBK-EESN</t>
        </is>
      </c>
      <c r="D699" s="2" t="inlineStr">
        <is>
          <t>Жесткий диск внешний WD Elements Desktop WDBWLG0180HBK-EESN 18ТБ 3,5" 5400RPM USB 3.0 (G4C) (878911)</t>
        </is>
      </c>
      <c r="E699" s="2">
        <v>33</v>
      </c>
      <c r="F699" s="2">
        <v>33</v>
      </c>
      <c r="H699" s="2">
        <v>548</v>
      </c>
      <c r="I699" s="2" t="inlineStr">
        <is>
          <t>$</t>
        </is>
      </c>
      <c r="J699" s="2">
        <f>HYPERLINK("https://app.astro.lead-studio.pro/product/f31291c8-d933-47ae-a503-a9f8a2ab64ac")</f>
      </c>
    </row>
    <row r="700" spans="1:10" customHeight="0">
      <c r="A700" s="2" t="inlineStr">
        <is>
          <t>Внутренние жесткие диски (HDD)</t>
        </is>
      </c>
      <c r="B700" s="2" t="inlineStr">
        <is>
          <t>Seagate</t>
        </is>
      </c>
      <c r="C700" s="2" t="inlineStr">
        <is>
          <t>ST10000NT001</t>
        </is>
      </c>
      <c r="D700" s="2" t="inlineStr">
        <is>
          <t>Жесткий диск Seagate 3.5" 10TB IronWolf Pro SATA 6Gb/s, 7200rpm, 256MB</t>
        </is>
      </c>
      <c r="E700" s="2">
        <v>25</v>
      </c>
      <c r="F700" s="2">
        <v>25</v>
      </c>
      <c r="H700" s="2">
        <v>349</v>
      </c>
      <c r="I700" s="2" t="inlineStr">
        <is>
          <t>$</t>
        </is>
      </c>
      <c r="J700" s="2">
        <f>HYPERLINK("https://app.astro.lead-studio.pro/product/83fc5bca-acdf-483b-bfa5-3badb65c5e2c")</f>
      </c>
    </row>
    <row r="701" spans="1:10" customHeight="0">
      <c r="A701" s="2" t="inlineStr">
        <is>
          <t>Внутренние жесткие диски (HDD)</t>
        </is>
      </c>
      <c r="B701" s="2" t="inlineStr">
        <is>
          <t>Seagate</t>
        </is>
      </c>
      <c r="C701" s="2" t="inlineStr">
        <is>
          <t>ST10000VN000</t>
        </is>
      </c>
      <c r="D701" s="2" t="inlineStr">
        <is>
          <t>Жесткий диск Seagate IronWolf NAS ST10000VN000 10TB 3.5" SATA 6Gb/s, 7200rpm, 256MB, 24x7, Bulk </t>
        </is>
      </c>
      <c r="E701" s="2">
        <v>21</v>
      </c>
      <c r="F701" s="2">
        <v>21</v>
      </c>
      <c r="H701" s="2">
        <v>327</v>
      </c>
      <c r="I701" s="2" t="inlineStr">
        <is>
          <t>$</t>
        </is>
      </c>
      <c r="J701" s="2">
        <f>HYPERLINK("https://app.astro.lead-studio.pro/product/198f7450-d6bc-4d64-84ea-67212ac32d37")</f>
      </c>
    </row>
    <row r="702" spans="1:10" customHeight="0">
      <c r="A702" s="2" t="inlineStr">
        <is>
          <t>Внутренние жесткие диски (HDD)</t>
        </is>
      </c>
      <c r="B702" s="2" t="inlineStr">
        <is>
          <t>Seagate</t>
        </is>
      </c>
      <c r="C702" s="2" t="inlineStr">
        <is>
          <t>ST12000NT001</t>
        </is>
      </c>
      <c r="D702" s="2" t="inlineStr">
        <is>
          <t>Жесткий диск Seagate 3.5" 12TB IronWolf Pro Nas ST12000NT001 SATA 6Gb/s, 7200rpm, 256MB</t>
        </is>
      </c>
      <c r="E702" s="2">
        <v>7</v>
      </c>
      <c r="F702" s="2">
        <v>7</v>
      </c>
      <c r="H702" s="2">
        <v>405</v>
      </c>
      <c r="I702" s="2" t="inlineStr">
        <is>
          <t>$</t>
        </is>
      </c>
      <c r="J702" s="2">
        <f>HYPERLINK("https://app.astro.lead-studio.pro/product/573c3199-c51c-47af-a1f9-a361795bf603")</f>
      </c>
    </row>
    <row r="703" spans="1:10" customHeight="0">
      <c r="A703" s="2" t="inlineStr">
        <is>
          <t>Внутренние жесткие диски (HDD)</t>
        </is>
      </c>
      <c r="B703" s="2" t="inlineStr">
        <is>
          <t>Seagate</t>
        </is>
      </c>
      <c r="C703" s="2" t="inlineStr">
        <is>
          <t>ST12000VE001</t>
        </is>
      </c>
      <c r="D703" s="2" t="inlineStr">
        <is>
          <t>Жесткий диск Seagate SkyHawk AI ST12000VE001 SATA 12TB 3.5" 6Gb/s, 7200rpm, 256MB, 24x7, Bulk (029377)</t>
        </is>
      </c>
      <c r="E703" s="2">
        <v>9</v>
      </c>
      <c r="F703" s="2">
        <v>9</v>
      </c>
      <c r="H703" s="2">
        <v>334</v>
      </c>
      <c r="I703" s="2" t="inlineStr">
        <is>
          <t>$</t>
        </is>
      </c>
      <c r="J703" s="2">
        <f>HYPERLINK("https://app.astro.lead-studio.pro/product/71b0662c-e0f1-4427-ad35-8d56dcd44b40")</f>
      </c>
    </row>
    <row r="704" spans="1:10" customHeight="0">
      <c r="A704" s="2" t="inlineStr">
        <is>
          <t>Внутренние жесткие диски (HDD)</t>
        </is>
      </c>
      <c r="B704" s="2" t="inlineStr">
        <is>
          <t>Seagate</t>
        </is>
      </c>
      <c r="C704" s="2" t="inlineStr">
        <is>
          <t>ST12000VN0008</t>
        </is>
      </c>
      <c r="D704" s="2" t="inlineStr">
        <is>
          <t>Жесткий диск Seagate IronWolf NAS ST12000VN0008 12TB 3.5" SATA 6Gb/s, 7200rpm, 256MB, 24x7, Bulk (632278)</t>
        </is>
      </c>
      <c r="E704" s="2">
        <v>20</v>
      </c>
      <c r="F704" s="2">
        <v>20</v>
      </c>
      <c r="H704" s="2">
        <v>349</v>
      </c>
      <c r="I704" s="2" t="inlineStr">
        <is>
          <t>$</t>
        </is>
      </c>
      <c r="J704" s="2">
        <f>HYPERLINK("https://app.astro.lead-studio.pro/product/d6cf2723-11f1-42a8-98dd-a8d18d0fd4f8")</f>
      </c>
    </row>
    <row r="705" spans="1:10" customHeight="0">
      <c r="A705" s="2" t="inlineStr">
        <is>
          <t>Внутренние жесткие диски (HDD)</t>
        </is>
      </c>
      <c r="B705" s="2" t="inlineStr">
        <is>
          <t>Seagate</t>
        </is>
      </c>
      <c r="C705" s="2" t="inlineStr">
        <is>
          <t>ST16000NT001</t>
        </is>
      </c>
      <c r="D705" s="2" t="inlineStr">
        <is>
          <t>Жесткий диск Seagate 3.5" 16TB IronWolf Pro SATA 6Gb/s, 7200rpm, 256MB</t>
        </is>
      </c>
      <c r="E705" s="2">
        <v>7</v>
      </c>
      <c r="F705" s="2">
        <v>7</v>
      </c>
      <c r="H705" s="2">
        <v>458</v>
      </c>
      <c r="I705" s="2" t="inlineStr">
        <is>
          <t>$</t>
        </is>
      </c>
      <c r="J705" s="2">
        <f>HYPERLINK("https://app.astro.lead-studio.pro/product/6005fa36-aaf5-44ec-852c-023333ac1cb8")</f>
      </c>
    </row>
    <row r="706" spans="1:10" customHeight="0">
      <c r="A706" s="2" t="inlineStr">
        <is>
          <t>Внутренние жесткие диски (HDD)</t>
        </is>
      </c>
      <c r="B706" s="2" t="inlineStr">
        <is>
          <t>Seagate</t>
        </is>
      </c>
      <c r="C706" s="2" t="inlineStr">
        <is>
          <t>ST16000VN001</t>
        </is>
      </c>
      <c r="D706" s="2" t="inlineStr">
        <is>
          <t>Жесткий диск Seagate IronWolf NAS ST16000VN001 16TB 3.5" SATA 6Gb/s, 7200rpm, 256MB, 24x7, Bulk</t>
        </is>
      </c>
      <c r="E706" s="2">
        <v>86</v>
      </c>
      <c r="F706" s="2">
        <v>86</v>
      </c>
      <c r="H706" s="2">
        <v>452</v>
      </c>
      <c r="I706" s="2" t="inlineStr">
        <is>
          <t>$</t>
        </is>
      </c>
      <c r="J706" s="2">
        <f>HYPERLINK("https://app.astro.lead-studio.pro/product/e2d4f8f6-ebc0-4f6e-8776-26e63fb9506d")</f>
      </c>
    </row>
    <row r="707" spans="1:10" customHeight="0">
      <c r="A707" s="2" t="inlineStr">
        <is>
          <t>Внутренние жесткие диски (HDD)</t>
        </is>
      </c>
      <c r="B707" s="2" t="inlineStr">
        <is>
          <t>Seagate</t>
        </is>
      </c>
      <c r="C707" s="2" t="inlineStr">
        <is>
          <t>ST18000NT001</t>
        </is>
      </c>
      <c r="D707" s="2" t="inlineStr">
        <is>
          <t>Жесткий диск Seagate 3.5" 18TB IronWolf Pro Nas ST18000NT001 SATA 6Gb/s, 7200rpm, 256MB</t>
        </is>
      </c>
      <c r="E707" s="2">
        <v>7</v>
      </c>
      <c r="F707" s="2">
        <v>7</v>
      </c>
      <c r="H707" s="2">
        <v>558</v>
      </c>
      <c r="I707" s="2" t="inlineStr">
        <is>
          <t>$</t>
        </is>
      </c>
      <c r="J707" s="2">
        <f>HYPERLINK("https://app.astro.lead-studio.pro/product/682aa5c7-ae16-4d9f-91e0-7ad217484e73")</f>
      </c>
    </row>
    <row r="708" spans="1:10" customHeight="0">
      <c r="A708" s="2" t="inlineStr">
        <is>
          <t>Внутренние жесткие диски (HDD)</t>
        </is>
      </c>
      <c r="B708" s="2" t="inlineStr">
        <is>
          <t>Western Digital</t>
        </is>
      </c>
      <c r="C708" s="2" t="inlineStr">
        <is>
          <t>WD101FZBX</t>
        </is>
      </c>
      <c r="D708" s="2" t="inlineStr">
        <is>
          <t>Жесткий диск WD Black™ WD101FZBX 10ТБ 3,5" 7200RPM 256MB (SATA III)</t>
        </is>
      </c>
      <c r="E708" s="2">
        <v>5</v>
      </c>
      <c r="F708" s="2">
        <v>5</v>
      </c>
      <c r="H708" s="2">
        <v>407</v>
      </c>
      <c r="I708" s="2" t="inlineStr">
        <is>
          <t>$</t>
        </is>
      </c>
      <c r="J708" s="2">
        <f>HYPERLINK("https://app.astro.lead-studio.pro/product/ba1565cf-5e48-4785-a19e-bf1c362b4397")</f>
      </c>
    </row>
    <row r="709" spans="1:10" customHeight="0">
      <c r="A709" s="2" t="inlineStr">
        <is>
          <t>Внутренние жесткие диски (HDD)</t>
        </is>
      </c>
      <c r="B709" s="2" t="inlineStr">
        <is>
          <t>Western Digital</t>
        </is>
      </c>
      <c r="C709" s="2" t="inlineStr">
        <is>
          <t>WD102KFBX</t>
        </is>
      </c>
      <c r="D709" s="2" t="inlineStr">
        <is>
          <t>Жесткий диск Western Digital RED PRO WD102KFBX 10TB 6GB/S 256MB </t>
        </is>
      </c>
      <c r="E709" s="2">
        <v>20</v>
      </c>
      <c r="F709" s="2">
        <v>20</v>
      </c>
      <c r="H709" s="2">
        <v>389</v>
      </c>
      <c r="I709" s="2" t="inlineStr">
        <is>
          <t>$</t>
        </is>
      </c>
      <c r="J709" s="2">
        <f>HYPERLINK("https://app.astro.lead-studio.pro/product/83cdd35b-dfe6-4483-acc9-060cc038feb8")</f>
      </c>
    </row>
    <row r="710" spans="1:10" customHeight="0">
      <c r="A710" s="2" t="inlineStr">
        <is>
          <t>Внутренние жесткие диски (HDD)</t>
        </is>
      </c>
      <c r="B710" s="2" t="inlineStr">
        <is>
          <t>Western Digital</t>
        </is>
      </c>
      <c r="C710" s="2" t="inlineStr">
        <is>
          <t>WD121PURP</t>
        </is>
      </c>
      <c r="D710" s="2" t="inlineStr">
        <is>
          <t>Жесткий диск Western Digital PURPLE WD121PURP 12TB 3.5" 6GB/S SATA 256MB  </t>
        </is>
      </c>
      <c r="E710" s="2">
        <v>1</v>
      </c>
      <c r="F710" s="2">
        <v>1</v>
      </c>
      <c r="H710" s="2">
        <v>387</v>
      </c>
      <c r="I710" s="2" t="inlineStr">
        <is>
          <t>$</t>
        </is>
      </c>
      <c r="J710" s="2">
        <f>HYPERLINK("https://app.astro.lead-studio.pro/product/850a336c-e1a1-4f88-aeb1-6f6b60ff1066")</f>
      </c>
    </row>
    <row r="711" spans="1:10" customHeight="0">
      <c r="A711" s="2" t="inlineStr">
        <is>
          <t>Внутренние жесткие диски (HDD)</t>
        </is>
      </c>
      <c r="B711" s="2" t="inlineStr">
        <is>
          <t>Western Digital</t>
        </is>
      </c>
      <c r="C711" s="2" t="inlineStr">
        <is>
          <t>WD141KRYZ</t>
        </is>
      </c>
      <c r="D711" s="2" t="inlineStr">
        <is>
          <t>Жесткий диск Western Digital Gold WD141KRYZ 14TB SATA3, Cache 256MB, 7200 rpm</t>
        </is>
      </c>
      <c r="E711" s="2">
        <v>5</v>
      </c>
      <c r="F711" s="2">
        <v>5</v>
      </c>
      <c r="H711" s="2">
        <v>496</v>
      </c>
      <c r="I711" s="2" t="inlineStr">
        <is>
          <t>$</t>
        </is>
      </c>
      <c r="J711" s="2">
        <f>HYPERLINK("https://app.astro.lead-studio.pro/product/2c3813ce-43f9-4dcd-8e7b-b3b0a2ac0dcc")</f>
      </c>
    </row>
    <row r="712" spans="1:10" customHeight="0">
      <c r="A712" s="2" t="inlineStr">
        <is>
          <t>Внутренние жесткие диски (HDD)</t>
        </is>
      </c>
      <c r="B712" s="2" t="inlineStr">
        <is>
          <t>Western Digital</t>
        </is>
      </c>
      <c r="C712" s="2" t="inlineStr">
        <is>
          <t>WD142KFGX</t>
        </is>
      </c>
      <c r="D712" s="2" t="inlineStr">
        <is>
          <t>Жесткий диск Western Digital 3.5" 14TB HDD Red Pro  WD142KFGX SATA 6Gb/s - 7200 rpm</t>
        </is>
      </c>
      <c r="E712" s="2">
        <v>8</v>
      </c>
      <c r="F712" s="2">
        <v>8</v>
      </c>
      <c r="H712" s="2">
        <v>445</v>
      </c>
      <c r="I712" s="2" t="inlineStr">
        <is>
          <t>$</t>
        </is>
      </c>
      <c r="J712" s="2">
        <f>HYPERLINK("https://app.astro.lead-studio.pro/product/42fda092-7d03-4cce-b911-a2eb3c4c4bc5")</f>
      </c>
    </row>
    <row r="713" spans="1:10" customHeight="0">
      <c r="A713" s="2" t="inlineStr">
        <is>
          <t>Внутренние жесткие диски (HDD)</t>
        </is>
      </c>
      <c r="B713" s="2" t="inlineStr">
        <is>
          <t>Western Digital</t>
        </is>
      </c>
      <c r="C713" s="2" t="inlineStr">
        <is>
          <t>WD142KRYZ</t>
        </is>
      </c>
      <c r="D713" s="2" t="inlineStr">
        <is>
          <t>Жесткий диск Western Digital 3.5" 14TB WD142KRYZ Gold SATA3, Cache 256MB, 7200 rpm</t>
        </is>
      </c>
      <c r="E713" s="2">
        <v>100</v>
      </c>
      <c r="F713" s="2">
        <v>100</v>
      </c>
      <c r="H713" s="2">
        <v>536</v>
      </c>
      <c r="I713" s="2" t="inlineStr">
        <is>
          <t>$</t>
        </is>
      </c>
      <c r="J713" s="2">
        <f>HYPERLINK("https://app.astro.lead-studio.pro/product/328f79e0-136b-4f9f-bb94-ba3a342d789a")</f>
      </c>
    </row>
    <row r="714" spans="1:10" customHeight="0">
      <c r="A714" s="2" t="inlineStr">
        <is>
          <t>Внутренние жесткие диски (HDD)</t>
        </is>
      </c>
      <c r="B714" s="2" t="inlineStr">
        <is>
          <t>Western Digital</t>
        </is>
      </c>
      <c r="C714" s="2" t="inlineStr">
        <is>
          <t>WD181KFGX</t>
        </is>
      </c>
      <c r="D714" s="2" t="inlineStr">
        <is>
          <t>Жесткий диск WD Red™ Pro WD181KFGX 18ТБ 3,5" 7200RPM 512MB (SATA-III) NAS</t>
        </is>
      </c>
      <c r="E714" s="2">
        <v>5</v>
      </c>
      <c r="F714" s="2">
        <v>5</v>
      </c>
      <c r="H714" s="2">
        <v>545</v>
      </c>
      <c r="I714" s="2" t="inlineStr">
        <is>
          <t>$</t>
        </is>
      </c>
      <c r="J714" s="2">
        <f>HYPERLINK("https://app.astro.lead-studio.pro/product/155ddceb-9e93-4a40-86ae-83cc6cf8662e")</f>
      </c>
    </row>
    <row r="715" spans="1:10" customHeight="0">
      <c r="A715" s="2" t="inlineStr">
        <is>
          <t>Внутренние жесткие диски (HDD)</t>
        </is>
      </c>
      <c r="B715" s="2" t="inlineStr">
        <is>
          <t>Western Digital</t>
        </is>
      </c>
      <c r="C715" s="2" t="inlineStr">
        <is>
          <t>WD181KRYZ</t>
        </is>
      </c>
      <c r="D715" s="2" t="inlineStr">
        <is>
          <t>Жесткий диск Western Digital GOLD WD181KRYZ 18TB 3.5" 7200RPM 6GB/S 512MB {20}</t>
        </is>
      </c>
      <c r="E715" s="2">
        <v>50</v>
      </c>
      <c r="F715" s="2">
        <v>50</v>
      </c>
      <c r="H715" s="2">
        <v>613</v>
      </c>
      <c r="I715" s="2" t="inlineStr">
        <is>
          <t>$</t>
        </is>
      </c>
      <c r="J715" s="2">
        <f>HYPERLINK("https://app.astro.lead-studio.pro/product/b918a68a-d828-4f3b-8ab6-77270170adfc")</f>
      </c>
    </row>
    <row r="716" spans="1:10" customHeight="0">
      <c r="A716" s="2" t="inlineStr">
        <is>
          <t>Внутренние жесткие диски (HDD)</t>
        </is>
      </c>
      <c r="B716" s="2" t="inlineStr">
        <is>
          <t>Western Digital</t>
        </is>
      </c>
      <c r="C716" s="2" t="inlineStr">
        <is>
          <t>WD181PURP</t>
        </is>
      </c>
      <c r="D716" s="2" t="inlineStr">
        <is>
          <t>Жесткий диск Western Digital PURPLE WD181PURP 18TB 3.5" 6GB/S 512MB {20}</t>
        </is>
      </c>
      <c r="E716" s="2">
        <v>69</v>
      </c>
      <c r="F716" s="2">
        <v>69</v>
      </c>
      <c r="H716" s="2">
        <v>501</v>
      </c>
      <c r="I716" s="2" t="inlineStr">
        <is>
          <t>$</t>
        </is>
      </c>
      <c r="J716" s="2">
        <f>HYPERLINK("https://app.astro.lead-studio.pro/product/a474df81-5ccc-405d-a45d-827865763a06")</f>
      </c>
    </row>
    <row r="717" spans="1:10" customHeight="0">
      <c r="A717" s="2" t="inlineStr">
        <is>
          <t>Внутренние жесткие диски (HDD)</t>
        </is>
      </c>
      <c r="B717" s="2" t="inlineStr">
        <is>
          <t>Western Digital</t>
        </is>
      </c>
      <c r="C717" s="2" t="inlineStr">
        <is>
          <t>WD202KRYZ</t>
        </is>
      </c>
      <c r="D717" s="2" t="inlineStr">
        <is>
          <t>Жесткий диск Western Digital 3.5" 20TB WD202KRYZ Gold SATA3, Cache 291MB, 7200 rpm</t>
        </is>
      </c>
      <c r="E717" s="2">
        <v>8</v>
      </c>
      <c r="F717" s="2">
        <v>8</v>
      </c>
      <c r="H717" s="2">
        <v>652</v>
      </c>
      <c r="I717" s="2" t="inlineStr">
        <is>
          <t>$</t>
        </is>
      </c>
      <c r="J717" s="2">
        <f>HYPERLINK("https://app.astro.lead-studio.pro/product/cdb63b11-094c-4f16-9d5b-ec1cdffe595d")</f>
      </c>
    </row>
    <row r="718" spans="1:10" customHeight="0">
      <c r="A718" s="2" t="inlineStr">
        <is>
          <t>Внутренние жесткие диски (HDD)</t>
        </is>
      </c>
      <c r="B718" s="2" t="inlineStr">
        <is>
          <t>Western Digital</t>
        </is>
      </c>
      <c r="C718" s="2" t="inlineStr">
        <is>
          <t>WD221KRYZ</t>
        </is>
      </c>
      <c r="D718" s="2" t="inlineStr">
        <is>
          <t>Жесткий диск Western Digital 22TB, 7200rpm, 512МБ, SATA</t>
        </is>
      </c>
      <c r="E718" s="2">
        <v>49</v>
      </c>
      <c r="F718" s="2">
        <v>49</v>
      </c>
      <c r="H718" s="2">
        <v>874</v>
      </c>
      <c r="I718" s="2" t="inlineStr">
        <is>
          <t>$</t>
        </is>
      </c>
      <c r="J718" s="2">
        <f>HYPERLINK("https://app.astro.lead-studio.pro/product/88c86af0-61ef-448d-9151-06e3c24c58f7")</f>
      </c>
    </row>
    <row r="719" spans="1:10" customHeight="0">
      <c r="A719" s="2" t="inlineStr">
        <is>
          <t>Внутренние жесткие диски (HDD)</t>
        </is>
      </c>
      <c r="B719" s="2" t="inlineStr">
        <is>
          <t>Western Digital</t>
        </is>
      </c>
      <c r="C719" s="2" t="inlineStr">
        <is>
          <t>WD221PURP</t>
        </is>
      </c>
      <c r="D719" s="2" t="inlineStr">
        <is>
          <t>Жесткий диск Western Digital 3.5" 22TB Purple Surveillance HDD WD221PURP (actual)  SATA 6Gb/s - 7200 rpm</t>
        </is>
      </c>
      <c r="E719" s="2">
        <v>75</v>
      </c>
      <c r="F719" s="2">
        <v>75</v>
      </c>
      <c r="H719" s="2">
        <v>660</v>
      </c>
      <c r="I719" s="2" t="inlineStr">
        <is>
          <t>$</t>
        </is>
      </c>
      <c r="J719" s="2">
        <f>HYPERLINK("https://app.astro.lead-studio.pro/product/adb61fb6-46de-4c9f-b314-67c661e6599a")</f>
      </c>
    </row>
    <row r="720" spans="1:10" customHeight="0">
      <c r="A720" s="2" t="inlineStr">
        <is>
          <t>Внутренние жесткие диски (HDD)</t>
        </is>
      </c>
      <c r="B720" s="2" t="inlineStr">
        <is>
          <t>Western Digital</t>
        </is>
      </c>
      <c r="C720" s="2" t="inlineStr">
        <is>
          <t>WD241KRYZ</t>
        </is>
      </c>
      <c r="D720" s="2" t="inlineStr">
        <is>
          <t>Жесткий диск Western Digital 3.5" 24TB WD241KRYZ Gold SATA3, Cache 298MB, 7200 rpm</t>
        </is>
      </c>
      <c r="E720" s="2">
        <v>53</v>
      </c>
      <c r="F720" s="2">
        <v>53</v>
      </c>
      <c r="H720" s="2">
        <v>883</v>
      </c>
      <c r="I720" s="2" t="inlineStr">
        <is>
          <t>$</t>
        </is>
      </c>
      <c r="J720" s="2">
        <f>HYPERLINK("https://app.astro.lead-studio.pro/product/9a0d20f9-53c3-4724-b262-70ca506bd615")</f>
      </c>
    </row>
    <row r="721" spans="1:10" customHeight="0">
      <c r="A721" s="2" t="inlineStr">
        <is>
          <t>Внутренние жесткие диски (HDD)</t>
        </is>
      </c>
      <c r="B721" s="2" t="inlineStr">
        <is>
          <t>Western Digital</t>
        </is>
      </c>
      <c r="C721" s="2" t="inlineStr">
        <is>
          <t>WD6004FRYZ</t>
        </is>
      </c>
      <c r="D721" s="2" t="inlineStr">
        <is>
          <t>Жесткий диск Western Digital 3.5" 6TB WD6004FRYZ Gold,  SATA3, Cache 256MB, 7200 rpm </t>
        </is>
      </c>
      <c r="E721" s="2">
        <v>100</v>
      </c>
      <c r="F721" s="2">
        <v>100</v>
      </c>
      <c r="H721" s="2">
        <v>328</v>
      </c>
      <c r="I721" s="2" t="inlineStr">
        <is>
          <t>$</t>
        </is>
      </c>
      <c r="J721" s="2">
        <f>HYPERLINK("https://app.astro.lead-studio.pro/product/e249fb35-a2a0-4bfb-8544-130f07e88fe2")</f>
      </c>
    </row>
    <row r="722" spans="1:10" customHeight="0">
      <c r="A722" s="2" t="inlineStr">
        <is>
          <t>Внутренние жесткие диски (HDD)</t>
        </is>
      </c>
      <c r="B722" s="2" t="inlineStr">
        <is>
          <t>Western Digital</t>
        </is>
      </c>
      <c r="C722" s="2" t="inlineStr">
        <is>
          <t>WD8005FRYZ</t>
        </is>
      </c>
      <c r="D722" s="2" t="inlineStr">
        <is>
          <t>Жесткий диск Western Digital 3.5" 8TB WD8005FRYZ Gold SATA3, Cache 256MB, 7200 rpm </t>
        </is>
      </c>
      <c r="E722" s="2">
        <v>92</v>
      </c>
      <c r="F722" s="2">
        <v>92</v>
      </c>
      <c r="H722" s="2">
        <v>353</v>
      </c>
      <c r="I722" s="2" t="inlineStr">
        <is>
          <t>$</t>
        </is>
      </c>
      <c r="J722" s="2">
        <f>HYPERLINK("https://app.astro.lead-studio.pro/product/6d704330-71ad-4c37-8a8a-454ba61e31aa")</f>
      </c>
    </row>
    <row r="723" spans="1:10" customHeight="0">
      <c r="A723" s="2" t="inlineStr">
        <is>
          <t>Внутренние твердотельные накопители (SSD)</t>
        </is>
      </c>
      <c r="B723" s="2" t="inlineStr">
        <is>
          <t>Crucial</t>
        </is>
      </c>
      <c r="C723" s="2" t="inlineStr">
        <is>
          <t>CT4000MX500SSD1</t>
        </is>
      </c>
      <c r="D723" s="2" t="inlineStr">
        <is>
          <t>Твердотельный накопитель SSD Crucial MX500 CT4000MX500SSD1 4000GB 2.5" Client 7mm, SATA3, 3D TLC, R/W 560/510MB/s, IOPs 95 000/90 000, TBW 1000, DWPD 0.23</t>
        </is>
      </c>
      <c r="E723" s="2">
        <v>21</v>
      </c>
      <c r="F723" s="2">
        <v>21</v>
      </c>
      <c r="H723" s="2">
        <v>380</v>
      </c>
      <c r="I723" s="2" t="inlineStr">
        <is>
          <t>$</t>
        </is>
      </c>
      <c r="J723" s="2">
        <f>HYPERLINK("https://app.astro.lead-studio.pro/product/072d25b8-3840-4016-b745-7cdf99f9ab18")</f>
      </c>
    </row>
    <row r="724" spans="1:10" customHeight="0">
      <c r="A724" s="2" t="inlineStr">
        <is>
          <t>Внутренние твердотельные накопители (SSD)</t>
        </is>
      </c>
      <c r="B724" s="2" t="inlineStr">
        <is>
          <t>Western Digital</t>
        </is>
      </c>
      <c r="C724" s="2" t="inlineStr">
        <is>
          <t>WDS400T3B0A</t>
        </is>
      </c>
      <c r="D724" s="2" t="inlineStr">
        <is>
          <t>Твердотельный накопитель SSD Western Digital Blue SA510 WDS400T3B0A 3D NAND 4ТБ 2,5" SATA-III (TLC) </t>
        </is>
      </c>
      <c r="E724" s="2">
        <v>6</v>
      </c>
      <c r="F724" s="2">
        <v>6</v>
      </c>
      <c r="H724" s="2">
        <v>356</v>
      </c>
      <c r="I724" s="2" t="inlineStr">
        <is>
          <t>$</t>
        </is>
      </c>
      <c r="J724" s="2">
        <f>HYPERLINK("https://app.astro.lead-studio.pro/product/dd615026-ed76-466e-86d4-9c19919b6630")</f>
      </c>
    </row>
    <row r="725" spans="1:10" customHeight="0">
      <c r="A725" s="2" t="inlineStr">
        <is>
          <t>Внутренние твердотельные накопители (SSD)</t>
        </is>
      </c>
      <c r="B725" s="2" t="inlineStr">
        <is>
          <t>ADATA</t>
        </is>
      </c>
      <c r="C725" s="2" t="inlineStr">
        <is>
          <t>ALEG-960-4TCS</t>
        </is>
      </c>
      <c r="D725" s="2" t="inlineStr">
        <is>
          <t>Твердотельный накопитель SSD ADATA  ALEG-960-4TCS PCIe Gen4x4 with NVMe, 7400/6800, IOPS 700/550K, MTBF 2M,3D NAND, 3120TBW, 0,43DWPD, Heat Sink, SMI SM2264, Work with PS5, RTL (938145)</t>
        </is>
      </c>
      <c r="E725" s="2">
        <v>16</v>
      </c>
      <c r="F725" s="2">
        <v>16</v>
      </c>
      <c r="H725" s="2">
        <v>337</v>
      </c>
      <c r="I725" s="2" t="inlineStr">
        <is>
          <t>$</t>
        </is>
      </c>
      <c r="J725" s="2">
        <f>HYPERLINK("https://app.astro.lead-studio.pro/product/57fc2eaa-cfec-4afb-9aa3-8672b171e823")</f>
      </c>
    </row>
    <row r="726" spans="1:10" customHeight="0">
      <c r="A726" s="2" t="inlineStr">
        <is>
          <t>Внутренние твердотельные накопители (SSD)</t>
        </is>
      </c>
      <c r="B726" s="2" t="inlineStr">
        <is>
          <t>MSI</t>
        </is>
      </c>
      <c r="C726" s="2" t="inlineStr">
        <is>
          <t>S78-440R050-P83</t>
        </is>
      </c>
      <c r="D726" s="2" t="inlineStr">
        <is>
          <t>Твердотельный накопитель SSD MSI 4TB PCIe 4.0 NVMe M.2 SPATIUM M480 PRO </t>
        </is>
      </c>
      <c r="E726" s="2">
        <v>10</v>
      </c>
      <c r="F726" s="2">
        <v>10</v>
      </c>
      <c r="H726" s="2">
        <v>396</v>
      </c>
      <c r="I726" s="2" t="inlineStr">
        <is>
          <t>$</t>
        </is>
      </c>
      <c r="J726" s="2">
        <f>HYPERLINK("https://app.astro.lead-studio.pro/product/dd23a7ed-e3f9-432d-92a3-923ecb9b278f")</f>
      </c>
    </row>
    <row r="727" spans="1:10" customHeight="0">
      <c r="A727" s="2" t="inlineStr">
        <is>
          <t>Внутренние твердотельные накопители (SSD)</t>
        </is>
      </c>
      <c r="B727" s="2" t="inlineStr">
        <is>
          <t>Kingston</t>
        </is>
      </c>
      <c r="C727" s="2" t="inlineStr">
        <is>
          <t>SFYRD/4000G</t>
        </is>
      </c>
      <c r="D727" s="2" t="inlineStr">
        <is>
          <t>Твердотельный накопитель SSDKingston FURY Renegade M.2 2280 SFYRD/4000G 4TBGB Client SSD PCIe 4.0 NVMe, 7300/7000, IOPS 1000/1000K, MTBF 1.8M, 3D TLC, 4000TBW, 0.55DWPD, with Heat Spreader (5 лет), RTL</t>
        </is>
      </c>
      <c r="E727" s="2">
        <v>14</v>
      </c>
      <c r="F727" s="2">
        <v>14</v>
      </c>
      <c r="H727" s="2">
        <v>364</v>
      </c>
      <c r="I727" s="2" t="inlineStr">
        <is>
          <t>$</t>
        </is>
      </c>
      <c r="J727" s="2">
        <f>HYPERLINK("https://app.astro.lead-studio.pro/product/161ff802-5372-4eb7-9095-f138adb3f433")</f>
      </c>
    </row>
    <row r="728" spans="1:10" customHeight="0">
      <c r="A728" s="2" t="inlineStr">
        <is>
          <t>Внутренние твердотельные накопители (SSD)</t>
        </is>
      </c>
      <c r="B728" s="2" t="inlineStr">
        <is>
          <t>Kingston</t>
        </is>
      </c>
      <c r="C728" s="2" t="inlineStr">
        <is>
          <t>SFYRDK/4000G</t>
        </is>
      </c>
      <c r="D728" s="2" t="inlineStr">
        <is>
          <t>Твердотельный накопитель SSD Kingston FURY Renegade  SFYRDK/4000G M.2 2280 4TB Client SSD PCIe 4.0 NVMe, 7300/7000, IOPS 1000/1000K, MTBF 1.8M, 3D TLC,  4000TBW, 0.55DWPD, with HEATSINK (5 лет), RTL</t>
        </is>
      </c>
      <c r="E728" s="2">
        <v>2</v>
      </c>
      <c r="F728" s="2">
        <v>2</v>
      </c>
      <c r="H728" s="2">
        <v>367</v>
      </c>
      <c r="I728" s="2" t="inlineStr">
        <is>
          <t>$</t>
        </is>
      </c>
      <c r="J728" s="2">
        <f>HYPERLINK("https://app.astro.lead-studio.pro/product/1f72729e-4b01-4434-93e6-72033680f5b3")</f>
      </c>
    </row>
    <row r="729" spans="1:10" customHeight="0">
      <c r="A729" s="2" t="inlineStr">
        <is>
          <t>Внутренние твердотельные накопители (SSD)</t>
        </is>
      </c>
      <c r="B729" s="2" t="inlineStr">
        <is>
          <t>Kingston</t>
        </is>
      </c>
      <c r="C729" s="2" t="inlineStr">
        <is>
          <t>SKC3000D/4096G</t>
        </is>
      </c>
      <c r="D729" s="2" t="inlineStr">
        <is>
          <t>Твердотельный накопитель SSD Kingston KC3000 M.2 2280 SKC3000D/4096G 4096GB Client SSD PCIe 4.0 NVMe, 7000/7000, IOPS 1000/1000K, MTBF 1.8M, 3D TLC, 3200TBW, 0.71DWPD, with Heat Spreader (5 лет), RTL</t>
        </is>
      </c>
      <c r="E729" s="2">
        <v>10</v>
      </c>
      <c r="F729" s="2">
        <v>10</v>
      </c>
      <c r="H729" s="2">
        <v>345</v>
      </c>
      <c r="I729" s="2" t="inlineStr">
        <is>
          <t>$</t>
        </is>
      </c>
      <c r="J729" s="2">
        <f>HYPERLINK("https://app.astro.lead-studio.pro/product/350383ee-e2e6-4060-aea5-c0774a221eef")</f>
      </c>
    </row>
    <row r="730" spans="1:10" customHeight="0">
      <c r="A730" s="2" t="inlineStr">
        <is>
          <t>Внутренние твердотельные накопители (SSD)</t>
        </is>
      </c>
      <c r="B730" s="2" t="inlineStr">
        <is>
          <t>Western Digital</t>
        </is>
      </c>
      <c r="C730" s="2" t="inlineStr">
        <is>
          <t>WDS400T1R0C</t>
        </is>
      </c>
      <c r="D730" s="2" t="inlineStr">
        <is>
          <t>Твердотельный накопитель SSD WD Red SN700 4TB M.2 2280 NVMe</t>
        </is>
      </c>
      <c r="E730" s="2">
        <v>10</v>
      </c>
      <c r="F730" s="2">
        <v>10</v>
      </c>
      <c r="H730" s="2">
        <v>524</v>
      </c>
      <c r="I730" s="2" t="inlineStr">
        <is>
          <t>$</t>
        </is>
      </c>
      <c r="J730" s="2">
        <f>HYPERLINK("https://app.astro.lead-studio.pro/product/cc30f6a4-8861-4122-a297-b16988029d6e")</f>
      </c>
    </row>
    <row r="731" spans="1:10" customHeight="0">
      <c r="A731" s="2" t="inlineStr">
        <is>
          <t>Корпуса для ПК</t>
        </is>
      </c>
      <c r="B731" s="2" t="inlineStr">
        <is>
          <t>ASUS</t>
        </is>
      </c>
      <c r="C731" s="2" t="inlineStr">
        <is>
          <t>90DC0020-B39000||bp</t>
        </is>
      </c>
      <c r="D731" s="2" t="inlineStr">
        <is>
          <t>Корпус для ПК ASUS Bad Pack GX601 /BK/AL/WITH HANDLE GX601 ROG STRIX HELIOS CASE/BK/AL/WITH HANDLE(90DC0020-B39000) (245791) bp</t>
        </is>
      </c>
      <c r="E731" s="2">
        <v>2</v>
      </c>
      <c r="F731" s="2">
        <v>2</v>
      </c>
      <c r="H731" s="2">
        <v>370</v>
      </c>
      <c r="I731" s="2" t="inlineStr">
        <is>
          <t>$</t>
        </is>
      </c>
      <c r="J731" s="2">
        <f>HYPERLINK("https://app.astro.lead-studio.pro/product/d92bd3e2-51f8-411c-8b8d-6ec205e8cda3")</f>
      </c>
    </row>
    <row r="732" spans="1:10" customHeight="0">
      <c r="A732" s="2" t="inlineStr">
        <is>
          <t>Корпуса для ПК</t>
        </is>
      </c>
      <c r="B732" s="2" t="inlineStr">
        <is>
          <t>Thermaltake</t>
        </is>
      </c>
      <c r="C732" s="2" t="inlineStr">
        <is>
          <t>CA-1Q8-00M1WN-00</t>
        </is>
      </c>
      <c r="D732" s="2" t="inlineStr">
        <is>
          <t>Корпус Thermaltake DistroCase 350P CA-1Q8-00M1WN-00 Black/Win/SPCC/PMMA/Tempered Glass*1 (524629)</t>
        </is>
      </c>
      <c r="E732" s="2">
        <v>5</v>
      </c>
      <c r="F732" s="2">
        <v>5</v>
      </c>
      <c r="H732" s="2">
        <v>596</v>
      </c>
      <c r="I732" s="2" t="inlineStr">
        <is>
          <t>$</t>
        </is>
      </c>
      <c r="J732" s="2">
        <f>HYPERLINK("https://app.astro.lead-studio.pro/product/23a8aa65-857e-45a7-b831-9ac30993588f")</f>
      </c>
    </row>
    <row r="733" spans="1:10" customHeight="0">
      <c r="A733" s="2" t="inlineStr">
        <is>
          <t>Корпуса для ПК</t>
        </is>
      </c>
      <c r="B733" s="2" t="inlineStr">
        <is>
          <t>Xigmatek</t>
        </is>
      </c>
      <c r="C733" s="2" t="inlineStr">
        <is>
          <t>EN41624</t>
        </is>
      </c>
      <c r="D733" s="2" t="inlineStr">
        <is>
          <t>Корпус Xigmatek Elysium II (Super EATX,Left/Right/Top TG,16PCS 140mm Square Ring ARGB Fan 2PCS Galaxy II Fan Control Box &amp; Remote Kits) EN41624</t>
        </is>
      </c>
      <c r="E733" s="2">
        <v>9</v>
      </c>
      <c r="F733" s="2">
        <v>9</v>
      </c>
      <c r="H733" s="2">
        <v>357</v>
      </c>
      <c r="I733" s="2" t="inlineStr">
        <is>
          <t>$</t>
        </is>
      </c>
      <c r="J733" s="2">
        <f>HYPERLINK("https://app.astro.lead-studio.pro/product/6030f823-e6d2-4f00-8259-f81d3ff46753")</f>
      </c>
    </row>
    <row r="734" spans="1:10" customHeight="0">
      <c r="A734" s="2" t="inlineStr">
        <is>
          <t>Корпуса для ПК</t>
        </is>
      </c>
      <c r="B734" s="2" t="inlineStr">
        <is>
          <t>Gigabyte</t>
        </is>
      </c>
      <c r="C734" s="2" t="inlineStr">
        <is>
          <t>GB-AC700G</t>
        </is>
      </c>
      <c r="D734" s="2" t="inlineStr">
        <is>
          <t>Корпус Gigabyte AORUS C700 Glass FullTower, E-ATX, USB-C x1, USB3.0 X4, HDMI x1, Audio I/O, Black, TG</t>
        </is>
      </c>
      <c r="E734" s="2">
        <v>74</v>
      </c>
      <c r="F734" s="2">
        <v>74</v>
      </c>
      <c r="H734" s="2">
        <v>396</v>
      </c>
      <c r="I734" s="2" t="inlineStr">
        <is>
          <t>$</t>
        </is>
      </c>
      <c r="J734" s="2">
        <f>HYPERLINK("https://app.astro.lead-studio.pro/product/117b17e6-15dd-4ace-aebc-da00ce9a8445")</f>
      </c>
    </row>
    <row r="735" spans="1:10" customHeight="0">
      <c r="A735" s="2" t="inlineStr">
        <is>
          <t>Материнские платы</t>
        </is>
      </c>
      <c r="B735" s="2" t="inlineStr">
        <is>
          <t>MSI</t>
        </is>
      </c>
      <c r="C735" s="2" t="inlineStr">
        <is>
          <t>MPG X670E CARBON WIFI</t>
        </is>
      </c>
      <c r="D735" s="2" t="inlineStr">
        <is>
          <t>Материнская плата MSI MPG X670E CARBON WIFI X670, AM5, 4*DDR5, 3*PCIEx16, 4*M.2, 3*TypeC, 6*USB3.2Gen2, 4*USB3.2Gen1, 12*USB2.0, 6*SATA3.0, 2.5G, DP, HDMI, TypeC(DP), ATX, RTL</t>
        </is>
      </c>
      <c r="E735" s="2">
        <v>26</v>
      </c>
      <c r="F735" s="2">
        <v>26</v>
      </c>
      <c r="H735" s="2">
        <v>543</v>
      </c>
      <c r="I735" s="2" t="inlineStr">
        <is>
          <t>$</t>
        </is>
      </c>
      <c r="J735" s="2">
        <f>HYPERLINK("https://app.astro.lead-studio.pro/product/3279d74e-cd0f-480c-bb68-712d0d2e12c5")</f>
      </c>
    </row>
    <row r="736" spans="1:10" customHeight="0">
      <c r="A736" s="2" t="inlineStr">
        <is>
          <t>Материнские платы</t>
        </is>
      </c>
      <c r="B736" s="2" t="inlineStr">
        <is>
          <t>Gigabyte</t>
        </is>
      </c>
      <c r="C736" s="2" t="inlineStr">
        <is>
          <t>X870E AORUS ELITE WIFI7</t>
        </is>
      </c>
      <c r="D736" s="2" t="inlineStr">
        <is>
          <t>Материнская плата Gigabyte X870E AORUS ELITE WIFI7, RTL</t>
        </is>
      </c>
      <c r="E736" s="2">
        <v>65</v>
      </c>
      <c r="F736" s="2">
        <v>65</v>
      </c>
      <c r="H736" s="2">
        <v>454</v>
      </c>
      <c r="I736" s="2" t="inlineStr">
        <is>
          <t>$</t>
        </is>
      </c>
    </row>
    <row r="737" spans="1:10" customHeight="0">
      <c r="A737" s="2" t="inlineStr">
        <is>
          <t>Материнские платы</t>
        </is>
      </c>
      <c r="B737" s="2" t="inlineStr">
        <is>
          <t>Gigabyte</t>
        </is>
      </c>
      <c r="C737" s="2" t="inlineStr">
        <is>
          <t>X870E AORUS PRO</t>
        </is>
      </c>
      <c r="D737" s="2" t="inlineStr">
        <is>
          <t>Материнская плата Gigabyte X870E AORUS PRO, RTL</t>
        </is>
      </c>
      <c r="E737" s="2">
        <v>26</v>
      </c>
      <c r="F737" s="2">
        <v>26</v>
      </c>
      <c r="H737" s="2">
        <v>507</v>
      </c>
      <c r="I737" s="2" t="inlineStr">
        <is>
          <t>$</t>
        </is>
      </c>
      <c r="J737" s="2">
        <f>HYPERLINK("https://app.astro.lead-studio.pro/product/37c63256-c326-4d6f-a3dc-4bcd11d2435d")</f>
      </c>
    </row>
    <row r="738" spans="1:10" customHeight="0">
      <c r="A738" s="2" t="inlineStr">
        <is>
          <t>Материнские платы</t>
        </is>
      </c>
      <c r="B738" s="2" t="inlineStr">
        <is>
          <t>ASRock</t>
        </is>
      </c>
      <c r="C738" s="2" t="inlineStr">
        <is>
          <t>X870 STEEL LEGEND WIFI</t>
        </is>
      </c>
      <c r="D738" s="2" t="inlineStr">
        <is>
          <t>Материнская плата ASRock X870 STEEL LEGEND WIFI, RTL</t>
        </is>
      </c>
      <c r="E738" s="2">
        <v>10</v>
      </c>
      <c r="F738" s="2">
        <v>10</v>
      </c>
      <c r="H738" s="2">
        <v>346</v>
      </c>
      <c r="I738" s="2" t="inlineStr">
        <is>
          <t>$</t>
        </is>
      </c>
    </row>
    <row r="739" spans="1:10" customHeight="0">
      <c r="A739" s="2" t="inlineStr">
        <is>
          <t>Материнские платы</t>
        </is>
      </c>
      <c r="B739" s="2" t="inlineStr">
        <is>
          <t>ASUS</t>
        </is>
      </c>
      <c r="C739" s="2" t="inlineStr">
        <is>
          <t>90MB1E60-M0EAY0</t>
        </is>
      </c>
      <c r="D739" s="2" t="inlineStr">
        <is>
          <t>Материнская плата ASUS PRO WS WRX80E-SAGE SE WIFI II AMD WRX80 Ryzen Threadripper PRO extended-ATX workstation motherboard with Intel dual 10G LAN, USB 3.2 Gen 2x2 Type-C port, 7 x PCIe 4.0 x16 slots, 3 x M.2 PCIe 4.0, ASMB9-iKVM, 2 x U.2 and 16 power stages, and WIFI 6E</t>
        </is>
      </c>
      <c r="E739" s="2">
        <v>7</v>
      </c>
      <c r="F739" s="2">
        <v>7</v>
      </c>
      <c r="H739" s="2">
        <v>1562</v>
      </c>
      <c r="I739" s="2" t="inlineStr">
        <is>
          <t>$</t>
        </is>
      </c>
    </row>
    <row r="740" spans="1:10" customHeight="0">
      <c r="A740" s="2" t="inlineStr">
        <is>
          <t>Материнские платы</t>
        </is>
      </c>
      <c r="B740" s="2" t="inlineStr">
        <is>
          <t>ASRock</t>
        </is>
      </c>
      <c r="C740" s="2" t="inlineStr">
        <is>
          <t>WRX90 WS EVO</t>
        </is>
      </c>
      <c r="D740" s="2" t="inlineStr">
        <is>
          <t>Материнская плата ASRock WRX90 WS EVO, RTL</t>
        </is>
      </c>
      <c r="E740" s="2">
        <v>3</v>
      </c>
      <c r="F740" s="2">
        <v>3</v>
      </c>
      <c r="H740" s="2">
        <v>1171</v>
      </c>
      <c r="I740" s="2" t="inlineStr">
        <is>
          <t>$</t>
        </is>
      </c>
    </row>
    <row r="741" spans="1:10" customHeight="0">
      <c r="A741" s="2" t="inlineStr">
        <is>
          <t>Материнские платы</t>
        </is>
      </c>
      <c r="B741" s="2" t="inlineStr">
        <is>
          <t>ASUS</t>
        </is>
      </c>
      <c r="C741" s="2" t="inlineStr">
        <is>
          <t>90MB1C70-M0EAY0||oem</t>
        </is>
      </c>
      <c r="D741" s="2" t="inlineStr">
        <is>
          <t>Материнская плата ASUS OEM PRO WS W790-ACE LGA4677 CEB 8xDDR5 5xPCIEx16 2xM.2  oem</t>
        </is>
      </c>
      <c r="E741" s="2">
        <v>1</v>
      </c>
      <c r="F741" s="2">
        <v>1</v>
      </c>
      <c r="H741" s="2">
        <v>971</v>
      </c>
      <c r="I741" s="2" t="inlineStr">
        <is>
          <t>$</t>
        </is>
      </c>
    </row>
    <row r="742" spans="1:10" customHeight="0">
      <c r="A742" s="2" t="inlineStr">
        <is>
          <t>Материнские платы</t>
        </is>
      </c>
      <c r="B742" s="2" t="inlineStr">
        <is>
          <t>ASRock</t>
        </is>
      </c>
      <c r="C742" s="2" t="inlineStr">
        <is>
          <t>X299 TAICHI CLX</t>
        </is>
      </c>
      <c r="D742" s="2" t="inlineStr">
        <is>
          <t>Материнская плата ASRock X299 TAICHI CLX, Socket 2066, Intel®X299, 8xDDR4-2666, 4xPCI-Ex16, 1xPCI-Ex1, 10xSATA3(RAID 0/1/5/10), 3xM.2, 8 Ch Audio, GLan, 1x2.5GLAN, WiFi, (2+4)xUSB2.0, (4+2)xUSB3.2, (1+1)xUSB3.2 Type-C™, ATX, RTL, {5} (339765)</t>
        </is>
      </c>
      <c r="E742" s="2">
        <v>4</v>
      </c>
      <c r="F742" s="2">
        <v>4</v>
      </c>
      <c r="H742" s="2">
        <v>443</v>
      </c>
      <c r="I742" s="2" t="inlineStr">
        <is>
          <t>$</t>
        </is>
      </c>
    </row>
    <row r="743" spans="1:10" customHeight="0">
      <c r="A743" s="2" t="inlineStr">
        <is>
          <t>Материнские платы</t>
        </is>
      </c>
      <c r="B743" s="2" t="inlineStr">
        <is>
          <t>ASUS</t>
        </is>
      </c>
      <c r="C743" s="2" t="inlineStr">
        <is>
          <t>90MB1BX0-M0EAY0</t>
        </is>
      </c>
      <c r="D743" s="2" t="inlineStr">
        <is>
          <t>Материнская плата ASUS ROG MAXIMUS Z690 HERO EVA /LGA1700,Z690,USB3.2 GEN 2,MB</t>
        </is>
      </c>
      <c r="E743" s="2">
        <v>98</v>
      </c>
      <c r="F743" s="2">
        <v>98</v>
      </c>
      <c r="H743" s="2">
        <v>413</v>
      </c>
      <c r="I743" s="2" t="inlineStr">
        <is>
          <t>$</t>
        </is>
      </c>
    </row>
    <row r="744" spans="1:10" customHeight="0">
      <c r="A744" s="2" t="inlineStr">
        <is>
          <t>Материнские платы</t>
        </is>
      </c>
      <c r="B744" s="2" t="inlineStr">
        <is>
          <t>ASUS</t>
        </is>
      </c>
      <c r="C744" s="2" t="inlineStr">
        <is>
          <t>90MB1CI0-M0EAY0</t>
        </is>
      </c>
      <c r="D744" s="2" t="inlineStr">
        <is>
          <t>Материнская плата ASUS ROG MAXIMUS Z790 HERO /LGA1700,Z790,USB3.2 GEN 2,MB (90MB1CI0-M0EAY0) /LGA1700,Z790,USB3.2 GEN 2,MB (90MB1CI0-M0EAY0)</t>
        </is>
      </c>
      <c r="E744" s="2">
        <v>100</v>
      </c>
      <c r="F744" s="2">
        <v>100</v>
      </c>
      <c r="H744" s="2">
        <v>731</v>
      </c>
      <c r="I744" s="2" t="inlineStr">
        <is>
          <t>$</t>
        </is>
      </c>
    </row>
    <row r="745" spans="1:10" customHeight="0">
      <c r="A745" s="2" t="inlineStr">
        <is>
          <t>Материнские платы</t>
        </is>
      </c>
      <c r="B745" s="2" t="inlineStr">
        <is>
          <t>ASUS</t>
        </is>
      </c>
      <c r="C745" s="2" t="inlineStr">
        <is>
          <t>90MB1CM0-M0EAY0</t>
        </is>
      </c>
      <c r="D745" s="2" t="inlineStr">
        <is>
          <t>Материнская плата ASUS ROG STRIX Z790-I GAMING WIFI /LGA1700,Z790,USB3.2 GEN 2X2,MB (90MB1CM0-M0EAY0) /LGA1700,Z790,USB3.2 GEN 2X2,MB (90MB1CM0-M0EAY0)</t>
        </is>
      </c>
      <c r="E745" s="2">
        <v>12</v>
      </c>
      <c r="F745" s="2">
        <v>12</v>
      </c>
      <c r="H745" s="2">
        <v>528</v>
      </c>
      <c r="I745" s="2" t="inlineStr">
        <is>
          <t>$</t>
        </is>
      </c>
    </row>
    <row r="746" spans="1:10" customHeight="0">
      <c r="A746" s="2" t="inlineStr">
        <is>
          <t>Материнские платы</t>
        </is>
      </c>
      <c r="B746" s="2" t="inlineStr">
        <is>
          <t>ASUS</t>
        </is>
      </c>
      <c r="C746" s="2" t="inlineStr">
        <is>
          <t>90MB1CP0-M0EAY0</t>
        </is>
      </c>
      <c r="D746" s="2" t="inlineStr">
        <is>
          <t>Материнская плата ASUS ROG STRIX Z790-F GAMING WIFI /LGA1700,Z790,USB3.2 GEN 2,MB (90MB1CP0-M0EAY0) /LGA1700,Z790,USB3.2 GEN 2,MB (90MB1CP0-M0EAY0)</t>
        </is>
      </c>
      <c r="E746" s="2">
        <v>2</v>
      </c>
      <c r="F746" s="2">
        <v>2</v>
      </c>
      <c r="H746" s="2">
        <v>527</v>
      </c>
      <c r="I746" s="2" t="inlineStr">
        <is>
          <t>$</t>
        </is>
      </c>
    </row>
    <row r="747" spans="1:10" customHeight="0">
      <c r="A747" s="2" t="inlineStr">
        <is>
          <t>Материнские платы</t>
        </is>
      </c>
      <c r="B747" s="2" t="inlineStr">
        <is>
          <t>ASUS</t>
        </is>
      </c>
      <c r="C747" s="2" t="inlineStr">
        <is>
          <t>90MB1CS0-M1EAY0</t>
        </is>
      </c>
      <c r="D747" s="2" t="inlineStr">
        <is>
          <t>Материнская плата ASUS PRIME Z790-A WIFI /LGA1700,Z790,USB3.2 GEN 2,MB </t>
        </is>
      </c>
      <c r="E747" s="2">
        <v>42</v>
      </c>
      <c r="F747" s="2">
        <v>42</v>
      </c>
      <c r="H747" s="2">
        <v>370</v>
      </c>
      <c r="I747" s="2" t="inlineStr">
        <is>
          <t>$</t>
        </is>
      </c>
    </row>
    <row r="748" spans="1:10" customHeight="0">
      <c r="A748" s="2" t="inlineStr">
        <is>
          <t>Материнские платы</t>
        </is>
      </c>
      <c r="B748" s="2" t="inlineStr">
        <is>
          <t>ASUS</t>
        </is>
      </c>
      <c r="C748" s="2" t="inlineStr">
        <is>
          <t>90MB1D80-M1EAY0</t>
        </is>
      </c>
      <c r="D748" s="2" t="inlineStr">
        <is>
          <t>Материнская плата ASUS TUF GAMING Z790-PLUS WIFI (90MB1D80-M1EAY0) /LGA1700,Z790,USB3.2 GEN 2X2,MB </t>
        </is>
      </c>
      <c r="E748" s="2">
        <v>100</v>
      </c>
      <c r="F748" s="2">
        <v>100</v>
      </c>
      <c r="H748" s="2">
        <v>347</v>
      </c>
      <c r="I748" s="2" t="inlineStr">
        <is>
          <t>$</t>
        </is>
      </c>
    </row>
    <row r="749" spans="1:10" customHeight="0">
      <c r="A749" s="2" t="inlineStr">
        <is>
          <t>Материнские платы</t>
        </is>
      </c>
      <c r="B749" s="2" t="inlineStr">
        <is>
          <t>ASUS</t>
        </is>
      </c>
      <c r="C749" s="2" t="inlineStr">
        <is>
          <t>90MB1F90-M0EAY0</t>
        </is>
      </c>
      <c r="D749" s="2" t="inlineStr">
        <is>
          <t>Материнская плата ASUS ROG MAXIMUS Z790 DARK HERO /LGA1700,Z790,USB3.2 GEN 2,MB</t>
        </is>
      </c>
      <c r="E749" s="2">
        <v>100</v>
      </c>
      <c r="F749" s="2">
        <v>100</v>
      </c>
      <c r="H749" s="2">
        <v>802</v>
      </c>
      <c r="I749" s="2" t="inlineStr">
        <is>
          <t>$</t>
        </is>
      </c>
    </row>
    <row r="750" spans="1:10" customHeight="0">
      <c r="A750" s="2" t="inlineStr">
        <is>
          <t>Материнские платы</t>
        </is>
      </c>
      <c r="B750" s="2" t="inlineStr">
        <is>
          <t>ASUS</t>
        </is>
      </c>
      <c r="C750" s="2" t="inlineStr">
        <is>
          <t>90MB1FC0-M0EAY0</t>
        </is>
      </c>
      <c r="D750" s="2" t="inlineStr">
        <is>
          <t>Материнская плата ASUS ROG STRIX Z790-E GAMING WIFI II /LGA1700,Z790,USB3.2 GEN 2,MB</t>
        </is>
      </c>
      <c r="E750" s="2">
        <v>100</v>
      </c>
      <c r="F750" s="2">
        <v>100</v>
      </c>
      <c r="H750" s="2">
        <v>593</v>
      </c>
      <c r="I750" s="2" t="inlineStr">
        <is>
          <t>$</t>
        </is>
      </c>
    </row>
    <row r="751" spans="1:10" customHeight="0">
      <c r="A751" s="2" t="inlineStr">
        <is>
          <t>Материнские платы</t>
        </is>
      </c>
      <c r="B751" s="2" t="inlineStr">
        <is>
          <t>ASUS</t>
        </is>
      </c>
      <c r="C751" s="2" t="inlineStr">
        <is>
          <t>90MB1FJ0-M0EAY0</t>
        </is>
      </c>
      <c r="D751" s="2" t="inlineStr">
        <is>
          <t>Материнская плата ASUS TUF GAMING Z790-PRO WIFI  /LGA1700,Z790,USB3.2 GEN 2X2,MB</t>
        </is>
      </c>
      <c r="E751" s="2">
        <v>100</v>
      </c>
      <c r="F751" s="2">
        <v>100</v>
      </c>
      <c r="H751" s="2">
        <v>413</v>
      </c>
      <c r="I751" s="2" t="inlineStr">
        <is>
          <t>$</t>
        </is>
      </c>
    </row>
    <row r="752" spans="1:10" customHeight="0">
      <c r="A752" s="2" t="inlineStr">
        <is>
          <t>Материнские платы</t>
        </is>
      </c>
      <c r="B752" s="2" t="inlineStr">
        <is>
          <t>ASUS</t>
        </is>
      </c>
      <c r="C752" s="2" t="inlineStr">
        <is>
          <t>90MB1FM0-M0EAY0</t>
        </is>
      </c>
      <c r="D752" s="2" t="inlineStr">
        <is>
          <t>Материнская плата ASUS ROG STRIX Z790-F GAMING WIFI II /LGA1700,Z790,USB3.2 GEN 2,MB </t>
        </is>
      </c>
      <c r="E752" s="2">
        <v>77</v>
      </c>
      <c r="F752" s="2">
        <v>77</v>
      </c>
      <c r="H752" s="2">
        <v>523</v>
      </c>
      <c r="I752" s="2" t="inlineStr">
        <is>
          <t>$</t>
        </is>
      </c>
    </row>
    <row r="753" spans="1:10" customHeight="0">
      <c r="A753" s="2" t="inlineStr">
        <is>
          <t>Материнские платы</t>
        </is>
      </c>
      <c r="B753" s="2" t="inlineStr">
        <is>
          <t>ASUS</t>
        </is>
      </c>
      <c r="C753" s="2" t="inlineStr">
        <is>
          <t>90MB1FX0-M0EAY0</t>
        </is>
      </c>
      <c r="D753" s="2" t="inlineStr">
        <is>
          <t>Материнская плата ASUS ROG MAXIMUS Z790 APEX ENCORE /LGA1700,Z790,USB20GBPS,MB</t>
        </is>
      </c>
      <c r="E753" s="2">
        <v>1</v>
      </c>
      <c r="F753" s="2">
        <v>1</v>
      </c>
      <c r="H753" s="2">
        <v>864</v>
      </c>
      <c r="I753" s="2" t="inlineStr">
        <is>
          <t>$</t>
        </is>
      </c>
    </row>
    <row r="754" spans="1:10" customHeight="0">
      <c r="A754" s="2" t="inlineStr">
        <is>
          <t>Материнские платы</t>
        </is>
      </c>
      <c r="B754" s="2" t="inlineStr">
        <is>
          <t>ASUS</t>
        </is>
      </c>
      <c r="C754" s="2" t="inlineStr">
        <is>
          <t>90MB1H50-M0EAY0</t>
        </is>
      </c>
      <c r="D754" s="2" t="inlineStr">
        <is>
          <t>Материнская плата ASUS ROG MAXIMUS Z790 HERO BTF (90MB1H50-M0EAY0) </t>
        </is>
      </c>
      <c r="E754" s="2">
        <v>7</v>
      </c>
      <c r="F754" s="2">
        <v>7</v>
      </c>
      <c r="H754" s="2">
        <v>843</v>
      </c>
      <c r="I754" s="2" t="inlineStr">
        <is>
          <t>$</t>
        </is>
      </c>
    </row>
    <row r="755" spans="1:10" customHeight="0">
      <c r="A755" s="2" t="inlineStr">
        <is>
          <t>Материнские платы</t>
        </is>
      </c>
      <c r="B755" s="2" t="inlineStr">
        <is>
          <t>Colorful</t>
        </is>
      </c>
      <c r="C755" s="2" t="inlineStr">
        <is>
          <t>iGame Z790D5 ULTRA V20</t>
        </is>
      </c>
      <c r="D755" s="2" t="inlineStr">
        <is>
          <t>Материнская плата Colorful iGame Z790D5 ULTRA V20 Z790, LGA1700, 4*DDR5, 2*PCIEx16, 1*PCIEx4, 1*PCIEx1, 4*M.2, 2*TypeC, 3*USB3.2Gen2, 4*USB3.2Gen1, 8*USB2.0, 6*SATA3.0, 2.5G, DP, HDMI, ATX, RTL</t>
        </is>
      </c>
      <c r="E755" s="2">
        <v>3</v>
      </c>
      <c r="F755" s="2">
        <v>3</v>
      </c>
      <c r="H755" s="2">
        <v>413</v>
      </c>
      <c r="I755" s="2" t="inlineStr">
        <is>
          <t>$</t>
        </is>
      </c>
    </row>
    <row r="756" spans="1:10" customHeight="0">
      <c r="A756" s="2" t="inlineStr">
        <is>
          <t>Материнские платы</t>
        </is>
      </c>
      <c r="B756" s="2" t="inlineStr">
        <is>
          <t>MSI</t>
        </is>
      </c>
      <c r="C756" s="2" t="inlineStr">
        <is>
          <t>MEG Z690 UNIFY</t>
        </is>
      </c>
      <c r="D756" s="2" t="inlineStr">
        <is>
          <t>Материнская плата MSI MEG Z690 UNIFY Z690, LGA1700, 4*DDR5, 2*PCIEx16, 1*PCIEx4, 5*M.2, 2*TypeC, 7*USB3.2Gen2, 4*USB3.2Gen1, 6*USB2.0, 6*SATA3.0, 2*2.5G, ATX, RTL</t>
        </is>
      </c>
      <c r="E756" s="2">
        <v>1</v>
      </c>
      <c r="F756" s="2">
        <v>1</v>
      </c>
      <c r="H756" s="2">
        <v>465</v>
      </c>
      <c r="I756" s="2" t="inlineStr">
        <is>
          <t>$</t>
        </is>
      </c>
    </row>
    <row r="757" spans="1:10" customHeight="0">
      <c r="A757" s="2" t="inlineStr">
        <is>
          <t>Материнские платы</t>
        </is>
      </c>
      <c r="B757" s="2" t="inlineStr">
        <is>
          <t>MSI</t>
        </is>
      </c>
      <c r="C757" s="2" t="inlineStr">
        <is>
          <t>MEG Z790 GODLIKE</t>
        </is>
      </c>
      <c r="D757" s="2" t="inlineStr">
        <is>
          <t>Материнская плата MSI MEG Z790 GODLIKE Z790, LGA1700, 4*DDR5, 2*PCIEx16, 7*M.2, 3*TypeC, 7*USB3.2Gen2, 4*USB3.2Gen1, 4*USB2.0, 6*SATA3.0, 10G, 2.5G, 2*THUNDERBOLT4, 2*miniDP, E-ATX, RTL</t>
        </is>
      </c>
      <c r="E757" s="2">
        <v>4</v>
      </c>
      <c r="F757" s="2">
        <v>4</v>
      </c>
      <c r="H757" s="2">
        <v>1297</v>
      </c>
      <c r="I757" s="2" t="inlineStr">
        <is>
          <t>$</t>
        </is>
      </c>
      <c r="J757" s="2">
        <f>HYPERLINK("https://app.astro.lead-studio.pro/product/255891ad-4c5a-4f10-876d-72d66131179f")</f>
      </c>
    </row>
    <row r="758" spans="1:10" customHeight="0">
      <c r="A758" s="2" t="inlineStr">
        <is>
          <t>Материнские платы</t>
        </is>
      </c>
      <c r="B758" s="2" t="inlineStr">
        <is>
          <t>MSI</t>
        </is>
      </c>
      <c r="C758" s="2" t="inlineStr">
        <is>
          <t>MPG Z790 CARBON MAX WIFI II</t>
        </is>
      </c>
      <c r="D758" s="2" t="inlineStr">
        <is>
          <t>Материнская плата MSI MPG Z790 CARBON MAX WIFI II Z790, LGA1700, 4*DDR5, 2*PCIEx16, 1*PCIEx1, 5*M.2, 3*TypeC, 6*USB3.2Gen2, 4*USB3.2Gen1, 4*USB2.0, 6*SATA3.0, 5G, HDMI, ATX, RTL</t>
        </is>
      </c>
      <c r="E758" s="2">
        <v>18</v>
      </c>
      <c r="F758" s="2">
        <v>18</v>
      </c>
      <c r="H758" s="2">
        <v>493</v>
      </c>
      <c r="I758" s="2" t="inlineStr">
        <is>
          <t>$</t>
        </is>
      </c>
      <c r="J758" s="2">
        <f>HYPERLINK("https://app.astro.lead-studio.pro/product/c979f851-1029-4e9d-911b-213998294da7")</f>
      </c>
    </row>
    <row r="759" spans="1:10" customHeight="0">
      <c r="A759" s="2" t="inlineStr">
        <is>
          <t>Материнские платы</t>
        </is>
      </c>
      <c r="B759" s="2" t="inlineStr">
        <is>
          <t>MSI</t>
        </is>
      </c>
      <c r="C759" s="2" t="inlineStr">
        <is>
          <t>MPG Z790 CARBON WIFI</t>
        </is>
      </c>
      <c r="D759" s="2" t="inlineStr">
        <is>
          <t>Материнская плата MSI MPG Z790 CARBON WIFI Z790, LGA1700, 4*DDR5, 2*PCIEx16, 1*PCIEx1, 5*M.2, 3*TypeC, 6*USB3.2Gen2, 4*USB3.2Gen1, 4*USB2.0, 6*SATA3.0, 5G, HDMI, ATX, RTL</t>
        </is>
      </c>
      <c r="E759" s="2">
        <v>15</v>
      </c>
      <c r="F759" s="2">
        <v>15</v>
      </c>
      <c r="H759" s="2">
        <v>425</v>
      </c>
      <c r="I759" s="2" t="inlineStr">
        <is>
          <t>$</t>
        </is>
      </c>
      <c r="J759" s="2">
        <f>HYPERLINK("https://app.astro.lead-studio.pro/product/e49df47f-12b0-45bc-96f1-a53d6626ba8d")</f>
      </c>
    </row>
    <row r="760" spans="1:10" customHeight="0">
      <c r="A760" s="2" t="inlineStr">
        <is>
          <t>Материнские платы</t>
        </is>
      </c>
      <c r="B760" s="2" t="inlineStr">
        <is>
          <t>MSI</t>
        </is>
      </c>
      <c r="C760" s="2" t="inlineStr">
        <is>
          <t>MPG Z790 CARBON WIFI II</t>
        </is>
      </c>
      <c r="D760" s="2" t="inlineStr">
        <is>
          <t>Материнская плата MSI MPG Z790 CARBON WIFI II Z790, LGA1700, 4*DDR5, 2*PCIEx16, 1*PCIEx1, 5*M.2, 3*TypeC, 6*USB3.2Gen2, 4*USB3.2Gen1, 4*USB2.0, 6*SATA3.0, 2.5G, HDMI, ATX, RTL</t>
        </is>
      </c>
      <c r="E760" s="2">
        <v>100</v>
      </c>
      <c r="F760" s="2">
        <v>100</v>
      </c>
      <c r="H760" s="2">
        <v>439</v>
      </c>
      <c r="I760" s="2" t="inlineStr">
        <is>
          <t>$</t>
        </is>
      </c>
      <c r="J760" s="2">
        <f>HYPERLINK("https://app.astro.lead-studio.pro/product/6ffd3b5e-79ba-4b38-9c86-4233e7f78bb1")</f>
      </c>
    </row>
    <row r="761" spans="1:10" customHeight="0">
      <c r="A761" s="2" t="inlineStr">
        <is>
          <t>Материнские платы</t>
        </is>
      </c>
      <c r="B761" s="2" t="inlineStr">
        <is>
          <t>MSI</t>
        </is>
      </c>
      <c r="C761" s="2" t="inlineStr">
        <is>
          <t>MPG Z790 EDGE TI MAX WIFI</t>
        </is>
      </c>
      <c r="D761" s="2" t="inlineStr">
        <is>
          <t>Материнская плата MSI MPG Z790 EDGE TI MAX WIFI Z790, LGA1700, 4*DDR5, 2*PCIEx16, 1*PCIEx1, 5*M.2, 3*TypeC, 4*USB3.2Gen2, 6*USB3.2Gen1, 4*USB2.0, 8*SATA3.0, 2.5G, DP, HDMI, ATX, RTL</t>
        </is>
      </c>
      <c r="E761" s="2">
        <v>15</v>
      </c>
      <c r="F761" s="2">
        <v>15</v>
      </c>
      <c r="H761" s="2">
        <v>459</v>
      </c>
      <c r="I761" s="2" t="inlineStr">
        <is>
          <t>$</t>
        </is>
      </c>
      <c r="J761" s="2">
        <f>HYPERLINK("https://app.astro.lead-studio.pro/product/782ca8b7-d0fa-45a3-861a-511f40c95106")</f>
      </c>
    </row>
    <row r="762" spans="1:10" customHeight="0">
      <c r="A762" s="2" t="inlineStr">
        <is>
          <t>Материнские платы</t>
        </is>
      </c>
      <c r="B762" s="2" t="inlineStr">
        <is>
          <t>MSI</t>
        </is>
      </c>
      <c r="C762" s="2" t="inlineStr">
        <is>
          <t>MPG Z790I EDGE WIFI</t>
        </is>
      </c>
      <c r="D762" s="2" t="inlineStr">
        <is>
          <t>Материнская плата MSI MPG Z790I EDGE WIFI Z790, LGA1700, 2*DDR5, 1*PCIEx16, 1*M.2, 2*TypeC, 2*USB3.2Gen2, 6*USB3.2Gen1, 2*USB2.0, 4*SATA3.0, 2.5G, DP, HDMI, Mini-ITX, RTL</t>
        </is>
      </c>
      <c r="E762" s="2">
        <v>17</v>
      </c>
      <c r="F762" s="2">
        <v>17</v>
      </c>
      <c r="H762" s="2">
        <v>407</v>
      </c>
      <c r="I762" s="2" t="inlineStr">
        <is>
          <t>$</t>
        </is>
      </c>
      <c r="J762" s="2">
        <f>HYPERLINK("https://app.astro.lead-studio.pro/product/ce66e6a4-9b5e-4e4e-9aa9-dc936461345f")</f>
      </c>
    </row>
    <row r="763" spans="1:10" customHeight="0">
      <c r="A763" s="2" t="inlineStr">
        <is>
          <t>Материнские платы</t>
        </is>
      </c>
      <c r="B763" s="2" t="inlineStr">
        <is>
          <t>Gigabyte</t>
        </is>
      </c>
      <c r="C763" s="2" t="inlineStr">
        <is>
          <t>Z790 AORUS PRO X WIFI7</t>
        </is>
      </c>
      <c r="D763" s="2" t="inlineStr">
        <is>
          <t>Материнская плата Gigabyte Z790 AORUS PRO X WIFI7, RTL</t>
        </is>
      </c>
      <c r="E763" s="2">
        <v>100</v>
      </c>
      <c r="F763" s="2">
        <v>100</v>
      </c>
      <c r="H763" s="2">
        <v>331</v>
      </c>
      <c r="I763" s="2" t="inlineStr">
        <is>
          <t>$</t>
        </is>
      </c>
      <c r="J763" s="2">
        <f>HYPERLINK("https://app.astro.lead-studio.pro/product/493b523c-7798-4447-88d4-1aea14b4f715")</f>
      </c>
    </row>
    <row r="764" spans="1:10" customHeight="0">
      <c r="A764" s="2" t="inlineStr">
        <is>
          <t>Материнские платы</t>
        </is>
      </c>
      <c r="B764" s="2" t="inlineStr">
        <is>
          <t>Gigabyte</t>
        </is>
      </c>
      <c r="C764" s="2" t="inlineStr">
        <is>
          <t>B860 AORUS ELITE WIFI7 ICE</t>
        </is>
      </c>
      <c r="D764" s="2" t="inlineStr">
        <is>
          <t>Материнская плата Gigabyte B860 AORUS ELITE WIFI7 ICE, </t>
        </is>
      </c>
      <c r="E764" s="2">
        <v>3</v>
      </c>
      <c r="F764" s="2">
        <v>3</v>
      </c>
      <c r="H764" s="2">
        <v>361</v>
      </c>
      <c r="I764" s="2" t="inlineStr">
        <is>
          <t>$</t>
        </is>
      </c>
    </row>
    <row r="765" spans="1:10" customHeight="0">
      <c r="A765" s="2" t="inlineStr">
        <is>
          <t>Материнские платы</t>
        </is>
      </c>
      <c r="B765" s="2" t="inlineStr">
        <is>
          <t>Gigabyte</t>
        </is>
      </c>
      <c r="C765" s="2" t="inlineStr">
        <is>
          <t>B860 GAMING X WIFI6E</t>
        </is>
      </c>
      <c r="D765" s="2" t="inlineStr">
        <is>
          <t>Материнская плата Gigabyte B860 GAMING X WIFI6E, RTL</t>
        </is>
      </c>
      <c r="E765" s="2">
        <v>32</v>
      </c>
      <c r="F765" s="2">
        <v>32</v>
      </c>
      <c r="H765" s="2">
        <v>324</v>
      </c>
      <c r="I765" s="2" t="inlineStr">
        <is>
          <t>$</t>
        </is>
      </c>
    </row>
    <row r="766" spans="1:10" customHeight="0">
      <c r="A766" s="2" t="inlineStr">
        <is>
          <t>Материнские платы</t>
        </is>
      </c>
      <c r="B766" s="2" t="inlineStr">
        <is>
          <t>Colorful</t>
        </is>
      </c>
      <c r="C766" s="2" t="inlineStr">
        <is>
          <t>CVN Z890D5 ARK FROZEN V20</t>
        </is>
      </c>
      <c r="D766" s="2" t="inlineStr">
        <is>
          <t>Материнская плата Colorful CVN Z890 ARK FROZEN V20, RTL</t>
        </is>
      </c>
      <c r="E766" s="2">
        <v>10</v>
      </c>
      <c r="F766" s="2">
        <v>10</v>
      </c>
      <c r="H766" s="2">
        <v>407</v>
      </c>
      <c r="I766" s="2" t="inlineStr">
        <is>
          <t>$</t>
        </is>
      </c>
    </row>
    <row r="767" spans="1:10" customHeight="0">
      <c r="A767" s="2" t="inlineStr">
        <is>
          <t>Материнские платы</t>
        </is>
      </c>
      <c r="B767" s="2" t="inlineStr">
        <is>
          <t>Colorful</t>
        </is>
      </c>
      <c r="C767" s="2" t="inlineStr">
        <is>
          <t>iGame Z890 FLOW V20</t>
        </is>
      </c>
      <c r="D767" s="2" t="inlineStr">
        <is>
          <t>Материнская плата Colorful iGame Z890 FLOW V20, RTL</t>
        </is>
      </c>
      <c r="E767" s="2">
        <v>5</v>
      </c>
      <c r="F767" s="2">
        <v>5</v>
      </c>
      <c r="H767" s="2">
        <v>475</v>
      </c>
      <c r="I767" s="2" t="inlineStr">
        <is>
          <t>$</t>
        </is>
      </c>
    </row>
    <row r="768" spans="1:10" customHeight="0">
      <c r="A768" s="2" t="inlineStr">
        <is>
          <t>Материнские платы</t>
        </is>
      </c>
      <c r="B768" s="2" t="inlineStr">
        <is>
          <t>Colorful</t>
        </is>
      </c>
      <c r="C768" s="2" t="inlineStr">
        <is>
          <t>iGame Z890 ULTRA V20</t>
        </is>
      </c>
      <c r="D768" s="2" t="inlineStr">
        <is>
          <t>Материнская плата Colorful iGame Z890 ULTRA V20, RTL</t>
        </is>
      </c>
      <c r="E768" s="2">
        <v>5</v>
      </c>
      <c r="F768" s="2">
        <v>5</v>
      </c>
      <c r="H768" s="2">
        <v>474</v>
      </c>
      <c r="I768" s="2" t="inlineStr">
        <is>
          <t>$</t>
        </is>
      </c>
    </row>
    <row r="769" spans="1:10" customHeight="0">
      <c r="A769" s="2" t="inlineStr">
        <is>
          <t>Материнские платы</t>
        </is>
      </c>
      <c r="B769" s="2" t="inlineStr">
        <is>
          <t>Colorful</t>
        </is>
      </c>
      <c r="C769" s="2" t="inlineStr">
        <is>
          <t>iGame Z890 VULCAN W V20</t>
        </is>
      </c>
      <c r="D769" s="2" t="inlineStr">
        <is>
          <t>Материнская плата Colorful iGame Z890 Vulcan W V20, RTL</t>
        </is>
      </c>
      <c r="E769" s="2">
        <v>5</v>
      </c>
      <c r="F769" s="2">
        <v>5</v>
      </c>
      <c r="H769" s="2">
        <v>693</v>
      </c>
      <c r="I769" s="2" t="inlineStr">
        <is>
          <t>$</t>
        </is>
      </c>
    </row>
    <row r="770" spans="1:10" customHeight="0">
      <c r="A770" s="2" t="inlineStr">
        <is>
          <t>Материнские платы</t>
        </is>
      </c>
      <c r="B770" s="2" t="inlineStr">
        <is>
          <t>Colorful</t>
        </is>
      </c>
      <c r="C770" s="2" t="inlineStr">
        <is>
          <t>iGame Z890 VULCAN X V20</t>
        </is>
      </c>
      <c r="D770" s="2" t="inlineStr">
        <is>
          <t>Материнская плата Colorful iGame Z890 VULCAN X V20, RTL</t>
        </is>
      </c>
      <c r="E770" s="2">
        <v>2</v>
      </c>
      <c r="F770" s="2">
        <v>2</v>
      </c>
      <c r="H770" s="2">
        <v>690</v>
      </c>
      <c r="I770" s="2" t="inlineStr">
        <is>
          <t>$</t>
        </is>
      </c>
    </row>
    <row r="771" spans="1:10" customHeight="0">
      <c r="A771" s="2" t="inlineStr">
        <is>
          <t>Материнские платы</t>
        </is>
      </c>
      <c r="B771" s="2" t="inlineStr">
        <is>
          <t>MSI</t>
        </is>
      </c>
      <c r="C771" s="2" t="inlineStr">
        <is>
          <t>MAG Z890 TOMAHAWK WIFI</t>
        </is>
      </c>
      <c r="D771" s="2" t="inlineStr">
        <is>
          <t>Материнская плата MSI MAG Z890 TOMAHAWK WIFI Z890, LGA1851, 4*DDR5, 3*PCIEx16, 4*M.2, 2*TypeC, 3*USB3.2Gen2, 6*USB3.2Gen1, 4*USB2.0, 4*SATA3.0, 5G, 2*Thunderbolt4, HDMI, ATX, RTL</t>
        </is>
      </c>
      <c r="E771" s="2">
        <v>100</v>
      </c>
      <c r="F771" s="2">
        <v>100</v>
      </c>
      <c r="H771" s="2">
        <v>477</v>
      </c>
      <c r="I771" s="2" t="inlineStr">
        <is>
          <t>$</t>
        </is>
      </c>
      <c r="J771" s="2">
        <f>HYPERLINK("https://app.astro.lead-studio.pro/product/ab7ba276-8b57-4984-a4b1-c088c54373fd")</f>
      </c>
    </row>
    <row r="772" spans="1:10" customHeight="0">
      <c r="A772" s="2" t="inlineStr">
        <is>
          <t>Материнские платы</t>
        </is>
      </c>
      <c r="B772" s="2" t="inlineStr">
        <is>
          <t>MSI</t>
        </is>
      </c>
      <c r="C772" s="2" t="inlineStr">
        <is>
          <t>MPG Z890 CARBON WIFI</t>
        </is>
      </c>
      <c r="D772" s="2" t="inlineStr">
        <is>
          <t>Материнская плата MSI MPG Z890 CARBON WIFI Z890, LGA1851, 4*DDR5, 3*PCIEx16, 5*M.2, 2*TypeC, 10*USB3.2Gen2, 4*USB3.2Gen1, 4*USB2.0, 4*SATA3.0, 5G, 2*Thunderbolt4, HDMI, ATX, RTL</t>
        </is>
      </c>
      <c r="E772" s="2">
        <v>39</v>
      </c>
      <c r="F772" s="2">
        <v>39</v>
      </c>
      <c r="H772" s="2">
        <v>767</v>
      </c>
      <c r="I772" s="2" t="inlineStr">
        <is>
          <t>$</t>
        </is>
      </c>
    </row>
    <row r="773" spans="1:10" customHeight="0">
      <c r="A773" s="2" t="inlineStr">
        <is>
          <t>Материнские платы</t>
        </is>
      </c>
      <c r="B773" s="2" t="inlineStr">
        <is>
          <t>MSI</t>
        </is>
      </c>
      <c r="C773" s="2" t="inlineStr">
        <is>
          <t>PRO Z890-P WIFI</t>
        </is>
      </c>
      <c r="D773" s="2" t="inlineStr">
        <is>
          <t>Материнская плата MSI PRO Z890-P WIFI Z890, LGA1851, 4*DDR5, 3*PCIEx16, 4*M.2, 2*TypeC, 1*USB3.2Gen2, 6*USB3.2Gen1, 8*USB2.0, 4*SATA3.0, 5G, Thunderbolt4 DP, HDMI, ATX, RTL</t>
        </is>
      </c>
      <c r="E773" s="2">
        <v>29</v>
      </c>
      <c r="F773" s="2">
        <v>29</v>
      </c>
      <c r="H773" s="2">
        <v>363</v>
      </c>
      <c r="I773" s="2" t="inlineStr">
        <is>
          <t>$</t>
        </is>
      </c>
      <c r="J773" s="2">
        <f>HYPERLINK("https://app.astro.lead-studio.pro/product/a56ab4b5-0827-45b5-a742-75d7e4bb90dc")</f>
      </c>
    </row>
    <row r="774" spans="1:10" customHeight="0">
      <c r="A774" s="2" t="inlineStr">
        <is>
          <t>Материнские платы</t>
        </is>
      </c>
      <c r="B774" s="2" t="inlineStr">
        <is>
          <t>Gigabyte</t>
        </is>
      </c>
      <c r="C774" s="2" t="inlineStr">
        <is>
          <t>Z890 AORUS ELITE WIFI7</t>
        </is>
      </c>
      <c r="D774" s="2" t="inlineStr">
        <is>
          <t>Материнская плата Gigabyte Z890 AORUS ELITE WIFI7, RTL</t>
        </is>
      </c>
      <c r="E774" s="2">
        <v>13</v>
      </c>
      <c r="F774" s="2">
        <v>13</v>
      </c>
      <c r="H774" s="2">
        <v>421</v>
      </c>
      <c r="I774" s="2" t="inlineStr">
        <is>
          <t>$</t>
        </is>
      </c>
    </row>
    <row r="775" spans="1:10" customHeight="0">
      <c r="A775" s="2" t="inlineStr">
        <is>
          <t>Материнские платы</t>
        </is>
      </c>
      <c r="B775" s="2" t="inlineStr">
        <is>
          <t>Gigabyte</t>
        </is>
      </c>
      <c r="C775" s="2" t="inlineStr">
        <is>
          <t>Z890 AORUS ELITE WIFI7 ICE</t>
        </is>
      </c>
      <c r="D775" s="2" t="inlineStr">
        <is>
          <t>Материнская плата Gigabyte Z890 AORUS ELITE WF7 ICE, RTL</t>
        </is>
      </c>
      <c r="E775" s="2">
        <v>100</v>
      </c>
      <c r="F775" s="2">
        <v>100</v>
      </c>
      <c r="H775" s="2">
        <v>386</v>
      </c>
      <c r="I775" s="2" t="inlineStr">
        <is>
          <t>$</t>
        </is>
      </c>
    </row>
    <row r="776" spans="1:10" customHeight="0">
      <c r="A776" s="2" t="inlineStr">
        <is>
          <t>Материнские платы</t>
        </is>
      </c>
      <c r="B776" s="2" t="inlineStr">
        <is>
          <t>Gigabyte</t>
        </is>
      </c>
      <c r="C776" s="2" t="inlineStr">
        <is>
          <t>Z890 AORUS ELITE X ICE</t>
        </is>
      </c>
      <c r="D776" s="2" t="inlineStr">
        <is>
          <t>Материнская плата Gigabyte Z890 AORUS ELITE X ICE, RTL</t>
        </is>
      </c>
      <c r="E776" s="2">
        <v>47</v>
      </c>
      <c r="F776" s="2">
        <v>47</v>
      </c>
      <c r="H776" s="2">
        <v>422</v>
      </c>
      <c r="I776" s="2" t="inlineStr">
        <is>
          <t>$</t>
        </is>
      </c>
    </row>
    <row r="777" spans="1:10" customHeight="0">
      <c r="A777" s="2" t="inlineStr">
        <is>
          <t>Материнские платы</t>
        </is>
      </c>
      <c r="B777" s="2" t="inlineStr">
        <is>
          <t>Gigabyte</t>
        </is>
      </c>
      <c r="C777" s="2" t="inlineStr">
        <is>
          <t>Z890 AORUS PRO ICE</t>
        </is>
      </c>
      <c r="D777" s="2" t="inlineStr">
        <is>
          <t>Материнская плата Gigabyte Z890 AORUS PRO ICE, RTL</t>
        </is>
      </c>
      <c r="E777" s="2">
        <v>2</v>
      </c>
      <c r="F777" s="2">
        <v>2</v>
      </c>
      <c r="H777" s="2">
        <v>536</v>
      </c>
      <c r="I777" s="2" t="inlineStr">
        <is>
          <t>$</t>
        </is>
      </c>
      <c r="J777" s="2">
        <f>HYPERLINK("https://app.astro.lead-studio.pro/product/efa50c3f-3147-42fa-9c5a-064bc8d7fec0")</f>
      </c>
    </row>
    <row r="778" spans="1:10" customHeight="0">
      <c r="A778" s="2" t="inlineStr">
        <is>
          <t>Материнские платы</t>
        </is>
      </c>
      <c r="B778" s="2" t="inlineStr">
        <is>
          <t>Gigabyte</t>
        </is>
      </c>
      <c r="C778" s="2" t="inlineStr">
        <is>
          <t>Z890 EAGLE WIFI7</t>
        </is>
      </c>
      <c r="D778" s="2" t="inlineStr">
        <is>
          <t>Материнская плата Gigabyte Z890 EAGLE WIFI7, RTL</t>
        </is>
      </c>
      <c r="E778" s="2">
        <v>31</v>
      </c>
      <c r="F778" s="2">
        <v>31</v>
      </c>
      <c r="H778" s="2">
        <v>324</v>
      </c>
      <c r="I778" s="2" t="inlineStr">
        <is>
          <t>$</t>
        </is>
      </c>
    </row>
    <row r="779" spans="1:10" customHeight="0">
      <c r="A779" s="2" t="inlineStr">
        <is>
          <t>Материнские платы</t>
        </is>
      </c>
      <c r="B779" s="2" t="inlineStr">
        <is>
          <t>Gigabyte</t>
        </is>
      </c>
      <c r="C779" s="2" t="inlineStr">
        <is>
          <t>Z890I AORUS ULTRA</t>
        </is>
      </c>
      <c r="D779" s="2" t="inlineStr">
        <is>
          <t>Материнская плата Gigabyte Z890I AORUS ULTRA, RTL</t>
        </is>
      </c>
      <c r="E779" s="2">
        <v>86</v>
      </c>
      <c r="F779" s="2">
        <v>86</v>
      </c>
      <c r="H779" s="2">
        <v>452</v>
      </c>
      <c r="I779" s="2" t="inlineStr">
        <is>
          <t>$</t>
        </is>
      </c>
    </row>
    <row r="780" spans="1:10" customHeight="0">
      <c r="A780" s="2" t="inlineStr">
        <is>
          <t>Материнские платы</t>
        </is>
      </c>
      <c r="B780" s="2" t="inlineStr">
        <is>
          <t>ASRock</t>
        </is>
      </c>
      <c r="C780" s="2" t="inlineStr">
        <is>
          <t>Z890I NOVA WIFI</t>
        </is>
      </c>
      <c r="D780" s="2" t="inlineStr">
        <is>
          <t>Материнская плата ASRock Z890I NOVA WIFI, RTL</t>
        </is>
      </c>
      <c r="E780" s="2">
        <v>30</v>
      </c>
      <c r="F780" s="2">
        <v>30</v>
      </c>
      <c r="H780" s="2">
        <v>432</v>
      </c>
      <c r="I780" s="2" t="inlineStr">
        <is>
          <t>$</t>
        </is>
      </c>
    </row>
    <row r="781" spans="1:10" customHeight="0">
      <c r="A781" s="2" t="inlineStr">
        <is>
          <t>Материнские платы</t>
        </is>
      </c>
      <c r="B781" s="2" t="inlineStr">
        <is>
          <t>ASRock</t>
        </is>
      </c>
      <c r="C781" s="2" t="inlineStr">
        <is>
          <t>Z890 LIGHTNING WIFI</t>
        </is>
      </c>
      <c r="D781" s="2" t="inlineStr">
        <is>
          <t>Материнская плата ASRock Z890 LIGHTNING WIFI, RTL</t>
        </is>
      </c>
      <c r="E781" s="2">
        <v>85</v>
      </c>
      <c r="F781" s="2">
        <v>85</v>
      </c>
      <c r="H781" s="2">
        <v>374</v>
      </c>
      <c r="I781" s="2" t="inlineStr">
        <is>
          <t>$</t>
        </is>
      </c>
    </row>
    <row r="782" spans="1:10" customHeight="0">
      <c r="A782" s="2" t="inlineStr">
        <is>
          <t>Материнские платы</t>
        </is>
      </c>
      <c r="B782" s="2" t="inlineStr">
        <is>
          <t>ASRock</t>
        </is>
      </c>
      <c r="C782" s="2" t="inlineStr">
        <is>
          <t>Z890 LIVEMIXER WIFI</t>
        </is>
      </c>
      <c r="D782" s="2" t="inlineStr">
        <is>
          <t>Материнская плата ASRock Z890 LIVEMIXER WIFI, RTL</t>
        </is>
      </c>
      <c r="E782" s="2">
        <v>73</v>
      </c>
      <c r="F782" s="2">
        <v>73</v>
      </c>
      <c r="H782" s="2">
        <v>364</v>
      </c>
      <c r="I782" s="2" t="inlineStr">
        <is>
          <t>$</t>
        </is>
      </c>
    </row>
    <row r="783" spans="1:10" customHeight="0">
      <c r="A783" s="2" t="inlineStr">
        <is>
          <t>Материнские платы</t>
        </is>
      </c>
      <c r="B783" s="2" t="inlineStr">
        <is>
          <t>ASRock</t>
        </is>
      </c>
      <c r="C783" s="2" t="inlineStr">
        <is>
          <t>Z890 NOVA WIFI</t>
        </is>
      </c>
      <c r="D783" s="2" t="inlineStr">
        <is>
          <t>Материнская плата ASRock Z890 NOVA WIFI</t>
        </is>
      </c>
      <c r="E783" s="2">
        <v>83</v>
      </c>
      <c r="F783" s="2">
        <v>83</v>
      </c>
      <c r="H783" s="2">
        <v>512</v>
      </c>
      <c r="I783" s="2" t="inlineStr">
        <is>
          <t>$</t>
        </is>
      </c>
    </row>
    <row r="784" spans="1:10" customHeight="0">
      <c r="A784" s="2" t="inlineStr">
        <is>
          <t>Материнские платы</t>
        </is>
      </c>
      <c r="B784" s="2" t="inlineStr">
        <is>
          <t>ASRock</t>
        </is>
      </c>
      <c r="C784" s="2" t="inlineStr">
        <is>
          <t>Z890 PRO RS WIFI WHITE</t>
        </is>
      </c>
      <c r="D784" s="2" t="inlineStr">
        <is>
          <t>Материнская плата ASRock Z890 PRO RS WIFI WHITE, RTL</t>
        </is>
      </c>
      <c r="E784" s="2">
        <v>100</v>
      </c>
      <c r="F784" s="2">
        <v>100</v>
      </c>
      <c r="H784" s="2">
        <v>324</v>
      </c>
      <c r="I784" s="2" t="inlineStr">
        <is>
          <t>$</t>
        </is>
      </c>
    </row>
    <row r="785" spans="1:10" customHeight="0">
      <c r="A785" s="2" t="inlineStr">
        <is>
          <t>Материнские платы</t>
        </is>
      </c>
      <c r="B785" s="2" t="inlineStr">
        <is>
          <t>ASRock</t>
        </is>
      </c>
      <c r="C785" s="2" t="inlineStr">
        <is>
          <t>Z890 RIPTIDE WIFI</t>
        </is>
      </c>
      <c r="D785" s="2" t="inlineStr">
        <is>
          <t>Материнская плата ASRock Z890 RIPTIDE WIFI, RTL</t>
        </is>
      </c>
      <c r="E785" s="2">
        <v>85</v>
      </c>
      <c r="F785" s="2">
        <v>85</v>
      </c>
      <c r="H785" s="2">
        <v>436</v>
      </c>
      <c r="I785" s="2" t="inlineStr">
        <is>
          <t>$</t>
        </is>
      </c>
    </row>
    <row r="786" spans="1:10" customHeight="0">
      <c r="A786" s="2" t="inlineStr">
        <is>
          <t>Материнские платы</t>
        </is>
      </c>
      <c r="B786" s="2" t="inlineStr">
        <is>
          <t>ASRock</t>
        </is>
      </c>
      <c r="C786" s="2" t="inlineStr">
        <is>
          <t>Z890 STEEL LEGEND WIFI</t>
        </is>
      </c>
      <c r="D786" s="2" t="inlineStr">
        <is>
          <t>Материнская плата ASRock Z890 STEEL LEGEND WIFI, RTL</t>
        </is>
      </c>
      <c r="E786" s="2">
        <v>81</v>
      </c>
      <c r="F786" s="2">
        <v>81</v>
      </c>
      <c r="H786" s="2">
        <v>356</v>
      </c>
      <c r="I786" s="2" t="inlineStr">
        <is>
          <t>$</t>
        </is>
      </c>
    </row>
    <row r="787" spans="1:10" customHeight="0">
      <c r="A787" s="2" t="inlineStr">
        <is>
          <t>Материнские платы</t>
        </is>
      </c>
      <c r="B787" s="2" t="inlineStr">
        <is>
          <t>ASRock</t>
        </is>
      </c>
      <c r="C787" s="2" t="inlineStr">
        <is>
          <t>Z890 TAICHI</t>
        </is>
      </c>
      <c r="D787" s="2" t="inlineStr">
        <is>
          <t>Материнская плата ASRock Z890 TAICHI, RTL</t>
        </is>
      </c>
      <c r="E787" s="2">
        <v>13</v>
      </c>
      <c r="F787" s="2">
        <v>13</v>
      </c>
      <c r="H787" s="2">
        <v>609</v>
      </c>
      <c r="I787" s="2" t="inlineStr">
        <is>
          <t>$</t>
        </is>
      </c>
    </row>
    <row r="788" spans="1:10" customHeight="0">
      <c r="A788" s="2" t="inlineStr">
        <is>
          <t>Материнские платы</t>
        </is>
      </c>
      <c r="B788" s="2" t="inlineStr">
        <is>
          <t>ASRock</t>
        </is>
      </c>
      <c r="C788" s="2" t="inlineStr">
        <is>
          <t>Z890 TAICHI LITE</t>
        </is>
      </c>
      <c r="D788" s="2" t="inlineStr">
        <is>
          <t>Материнская плата ASRock Z890 TAICHI LITE, RTL</t>
        </is>
      </c>
      <c r="E788" s="2">
        <v>20</v>
      </c>
      <c r="F788" s="2">
        <v>20</v>
      </c>
      <c r="H788" s="2">
        <v>532</v>
      </c>
      <c r="I788" s="2" t="inlineStr">
        <is>
          <t>$</t>
        </is>
      </c>
    </row>
    <row r="789" spans="1:10" customHeight="0">
      <c r="A789" s="2" t="inlineStr">
        <is>
          <t>Материнские платы</t>
        </is>
      </c>
      <c r="B789" s="2" t="inlineStr">
        <is>
          <t>ASRock</t>
        </is>
      </c>
      <c r="C789" s="2" t="inlineStr">
        <is>
          <t>Z890 TAICHI OCF</t>
        </is>
      </c>
      <c r="D789" s="2" t="inlineStr">
        <is>
          <t>Материнская плата ASRock Z890 TAICHI OCF, RTL</t>
        </is>
      </c>
      <c r="E789" s="2">
        <v>10</v>
      </c>
      <c r="F789" s="2">
        <v>10</v>
      </c>
      <c r="H789" s="2">
        <v>678</v>
      </c>
      <c r="I789" s="2" t="inlineStr">
        <is>
          <t>$</t>
        </is>
      </c>
    </row>
    <row r="790" spans="1:10" customHeight="0">
      <c r="A790" s="2" t="inlineStr">
        <is>
          <t>Модули памяти</t>
        </is>
      </c>
      <c r="B790" s="2" t="inlineStr">
        <is>
          <t>Kingston</t>
        </is>
      </c>
      <c r="C790" s="2" t="inlineStr">
        <is>
          <t>KF564C32RSAK2-64</t>
        </is>
      </c>
      <c r="D790" s="2" t="inlineStr">
        <is>
          <t>Комплект модулей памяти Kingston 64GB DDR5 6400 FURY Renegade Silver/Black RGB XMP Non-ECC Unbuffered DIMM (Kit 2*32gb) 2RX8 32-39-39 1.4V 288-pin 16Gbit</t>
        </is>
      </c>
      <c r="E790" s="2">
        <v>3</v>
      </c>
      <c r="F790" s="2">
        <v>3</v>
      </c>
      <c r="H790" s="2">
        <v>326</v>
      </c>
      <c r="I790" s="2" t="inlineStr">
        <is>
          <t>$</t>
        </is>
      </c>
      <c r="J790" s="2">
        <f>HYPERLINK("https://app.astro.lead-studio.pro/product/844c6804-d687-4874-b789-82924e67e47e")</f>
      </c>
    </row>
    <row r="791" spans="1:10" customHeight="0">
      <c r="A791" s="2" t="inlineStr">
        <is>
          <t>Модули памяти</t>
        </is>
      </c>
      <c r="B791" s="2" t="inlineStr">
        <is>
          <t>Kingston</t>
        </is>
      </c>
      <c r="C791" s="2" t="inlineStr">
        <is>
          <t>KF584CU40RSAK2-48</t>
        </is>
      </c>
      <c r="D791" s="2" t="inlineStr">
        <is>
          <t>Модуль памяти Kingston KF584CU40RSAK2-48 48GB DDR5 8400 CUDIMM FURY Renegade Silver/Black RGB Gaming Memory Non-ECC, CL40, 1.45V, Heat Shield, Kit (2x24GB), XMP, RTL</t>
        </is>
      </c>
      <c r="E791" s="2">
        <v>2</v>
      </c>
      <c r="F791" s="2">
        <v>2</v>
      </c>
      <c r="H791" s="2">
        <v>429</v>
      </c>
      <c r="I791" s="2" t="inlineStr">
        <is>
          <t>$</t>
        </is>
      </c>
      <c r="J791" s="2">
        <f>HYPERLINK("https://app.astro.lead-studio.pro/product/ee1dbc43-e052-4624-b8b7-d3d7c082f2c2")</f>
      </c>
    </row>
    <row r="792" spans="1:10" customHeight="0">
      <c r="A792" s="2" t="inlineStr">
        <is>
          <t>Модули памяти</t>
        </is>
      </c>
      <c r="B792" s="2" t="inlineStr">
        <is>
          <t>Kingston</t>
        </is>
      </c>
      <c r="C792" s="2" t="inlineStr">
        <is>
          <t>KF584CU40RSK2-48</t>
        </is>
      </c>
      <c r="D792" s="2" t="inlineStr">
        <is>
          <t>Модуль памяти Kingston KF584CU40RSK2-48 48GB DDR5 8400 CUDIMM FURY Renegade Silver/Black Gaming Memory Non-ECC, CL40, 1.45V, Heat Shield, Kit (2x24GB), XMP, RTL</t>
        </is>
      </c>
      <c r="E792" s="2">
        <v>1</v>
      </c>
      <c r="F792" s="2">
        <v>1</v>
      </c>
      <c r="H792" s="2">
        <v>421</v>
      </c>
      <c r="I792" s="2" t="inlineStr">
        <is>
          <t>$</t>
        </is>
      </c>
      <c r="J792" s="2">
        <f>HYPERLINK("https://app.astro.lead-studio.pro/product/219d4403-30a2-4922-bc95-43d5aa14169c")</f>
      </c>
    </row>
    <row r="793" spans="1:10" customHeight="0">
      <c r="A793" s="2" t="inlineStr">
        <is>
          <t>Модули памяти</t>
        </is>
      </c>
      <c r="B793" s="2" t="inlineStr">
        <is>
          <t>Kingston</t>
        </is>
      </c>
      <c r="C793" s="2" t="inlineStr">
        <is>
          <t>KF584CU40RWAK2-48</t>
        </is>
      </c>
      <c r="D793" s="2" t="inlineStr">
        <is>
          <t>Модуль памяти Kingston KF584CU40RWAK2-48 48GB DDR5 8400 CUDIMM FURY Renegade Silver/White RGB Gaming Memory Non-ECC, CL40, 1.45V, Heat Shield, Kit (2x24GB), XMP, RTL</t>
        </is>
      </c>
      <c r="E793" s="2">
        <v>2</v>
      </c>
      <c r="F793" s="2">
        <v>2</v>
      </c>
      <c r="H793" s="2">
        <v>426</v>
      </c>
      <c r="I793" s="2" t="inlineStr">
        <is>
          <t>$</t>
        </is>
      </c>
      <c r="J793" s="2">
        <f>HYPERLINK("https://app.astro.lead-studio.pro/product/a9796dff-cfed-4c59-bff5-f23774b73d5d")</f>
      </c>
    </row>
    <row r="794" spans="1:10" customHeight="0">
      <c r="A794" s="2" t="inlineStr">
        <is>
          <t>Модули памяти</t>
        </is>
      </c>
      <c r="B794" s="2" t="inlineStr">
        <is>
          <t>Kingston</t>
        </is>
      </c>
      <c r="C794" s="2" t="inlineStr">
        <is>
          <t>KF584CU40RWK2-48</t>
        </is>
      </c>
      <c r="D794" s="2" t="inlineStr">
        <is>
          <t>Модуль памяти Kingston KF584CU40RWK2-48 48GB DDR5 8400 CUDIMM FURY Renegade Silver/White Gaming Memory Non-ECC, CL40, 1.45V, Heat Shield, Kit (2x24GB), XMP, RTL</t>
        </is>
      </c>
      <c r="E794" s="2">
        <v>2</v>
      </c>
      <c r="F794" s="2">
        <v>2</v>
      </c>
      <c r="H794" s="2">
        <v>424</v>
      </c>
      <c r="I794" s="2" t="inlineStr">
        <is>
          <t>$</t>
        </is>
      </c>
      <c r="J794" s="2">
        <f>HYPERLINK("https://app.astro.lead-studio.pro/product/34258efc-bdda-4391-8666-77759e99798a")</f>
      </c>
    </row>
    <row r="795" spans="1:10" customHeight="0">
      <c r="A795" s="2" t="inlineStr">
        <is>
          <t>Процессоры (CPU)</t>
        </is>
      </c>
      <c r="B795" s="2" t="inlineStr">
        <is>
          <t>AMD</t>
        </is>
      </c>
      <c r="C795" s="2" t="inlineStr">
        <is>
          <t>100-000000061</t>
        </is>
      </c>
      <c r="D795" s="2" t="inlineStr">
        <is>
          <t>Центральный Процессор AMD RYZEN 9 5900X OEM (Vermeer, 7nm, C12/T24, Base 3,70GHz, Turbo 4,80GHz, Without Graphics, L3 64Mb, TDP 105W, SAM4) (734373)</t>
        </is>
      </c>
      <c r="E795" s="2">
        <v>84</v>
      </c>
      <c r="F795" s="2">
        <v>84</v>
      </c>
      <c r="H795" s="2">
        <v>341</v>
      </c>
      <c r="I795" s="2" t="inlineStr">
        <is>
          <t>$</t>
        </is>
      </c>
      <c r="J795" s="2">
        <f>HYPERLINK("https://app.astro.lead-studio.pro/product/19ddc13c-6f2f-4aa9-8231-c4bedf7256d0")</f>
      </c>
    </row>
    <row r="796" spans="1:10" customHeight="0">
      <c r="A796" s="2" t="inlineStr">
        <is>
          <t>Процессоры (CPU)</t>
        </is>
      </c>
      <c r="B796" s="2" t="inlineStr">
        <is>
          <t>AMD</t>
        </is>
      </c>
      <c r="C796" s="2" t="inlineStr">
        <is>
          <t>100-100001581WOF</t>
        </is>
      </c>
      <c r="D796" s="2" t="inlineStr">
        <is>
          <t>Центральный Процессор AMD RYZEN 9 5900XT BOX</t>
        </is>
      </c>
      <c r="E796" s="2">
        <v>4</v>
      </c>
      <c r="F796" s="2">
        <v>4</v>
      </c>
      <c r="H796" s="2">
        <v>507</v>
      </c>
      <c r="I796" s="2" t="inlineStr">
        <is>
          <t>$</t>
        </is>
      </c>
      <c r="J796" s="2">
        <f>HYPERLINK("https://app.astro.lead-studio.pro/product/edd52d80-5aab-4d24-80b7-226f97b17dfe")</f>
      </c>
    </row>
    <row r="797" spans="1:10" customHeight="0">
      <c r="A797" s="2" t="inlineStr">
        <is>
          <t>Процессоры (CPU)</t>
        </is>
      </c>
      <c r="B797" s="2" t="inlineStr">
        <is>
          <t>AMD</t>
        </is>
      </c>
      <c r="C797" s="2" t="inlineStr">
        <is>
          <t>100-100001582BOX</t>
        </is>
      </c>
      <c r="D797" s="2" t="inlineStr">
        <is>
          <t>Центральный Процессор AMD RYZEN 7 5800XT BOX</t>
        </is>
      </c>
      <c r="E797" s="2">
        <v>10</v>
      </c>
      <c r="F797" s="2">
        <v>10</v>
      </c>
      <c r="H797" s="2">
        <v>369</v>
      </c>
      <c r="I797" s="2" t="inlineStr">
        <is>
          <t>$</t>
        </is>
      </c>
      <c r="J797" s="2">
        <f>HYPERLINK("https://app.astro.lead-studio.pro/product/1afcff75-1582-42bf-ace0-557ac94b46ea")</f>
      </c>
    </row>
    <row r="798" spans="1:10" customHeight="0">
      <c r="A798" s="2" t="inlineStr">
        <is>
          <t>Процессоры (CPU)</t>
        </is>
      </c>
      <c r="B798" s="2" t="inlineStr">
        <is>
          <t>AMD</t>
        </is>
      </c>
      <c r="C798" s="2" t="inlineStr">
        <is>
          <t>100-000000514</t>
        </is>
      </c>
      <c r="D798" s="2" t="inlineStr">
        <is>
          <t>Центральный Процессор AMD RYZEN 9 7950X OEM (Raphael, 5nm, C16/T32, Base 4,50GHz, Turbo 5,70GHz, RDNA 2 Graphics, L3 64Mb, TDP 170W, SAM5)</t>
        </is>
      </c>
      <c r="E798" s="2">
        <v>10</v>
      </c>
      <c r="F798" s="2">
        <v>10</v>
      </c>
      <c r="H798" s="2">
        <v>604</v>
      </c>
      <c r="I798" s="2" t="inlineStr">
        <is>
          <t>$</t>
        </is>
      </c>
      <c r="J798" s="2">
        <f>HYPERLINK("https://app.astro.lead-studio.pro/product/6d7dbb51-57f7-4edc-9157-12d04b562b71")</f>
      </c>
    </row>
    <row r="799" spans="1:10" customHeight="0">
      <c r="A799" s="2" t="inlineStr">
        <is>
          <t>Процессоры (CPU)</t>
        </is>
      </c>
      <c r="B799" s="2" t="inlineStr">
        <is>
          <t>AMD</t>
        </is>
      </c>
      <c r="C799" s="2" t="inlineStr">
        <is>
          <t>100-000000589</t>
        </is>
      </c>
      <c r="D799" s="2" t="inlineStr">
        <is>
          <t>Центральный Процессор AMD RYZEN 9 7900X OEM</t>
        </is>
      </c>
      <c r="E799" s="2">
        <v>100</v>
      </c>
      <c r="F799" s="2">
        <v>100</v>
      </c>
      <c r="H799" s="2">
        <v>447</v>
      </c>
      <c r="I799" s="2" t="inlineStr">
        <is>
          <t>$</t>
        </is>
      </c>
      <c r="J799" s="2">
        <f>HYPERLINK("https://app.astro.lead-studio.pro/product/2528278c-eb79-41fa-b05d-3eca2b281136")</f>
      </c>
    </row>
    <row r="800" spans="1:10" customHeight="0">
      <c r="A800" s="2" t="inlineStr">
        <is>
          <t>Процессоры (CPU)</t>
        </is>
      </c>
      <c r="B800" s="2" t="inlineStr">
        <is>
          <t>AMD</t>
        </is>
      </c>
      <c r="C800" s="2" t="inlineStr">
        <is>
          <t>100-000000590</t>
        </is>
      </c>
      <c r="D800" s="2" t="inlineStr">
        <is>
          <t>Центральный Процессор AMD RYZEN 9 7900 OEM</t>
        </is>
      </c>
      <c r="E800" s="2">
        <v>48</v>
      </c>
      <c r="F800" s="2">
        <v>48</v>
      </c>
      <c r="H800" s="2">
        <v>480</v>
      </c>
      <c r="I800" s="2" t="inlineStr">
        <is>
          <t>$</t>
        </is>
      </c>
      <c r="J800" s="2">
        <f>HYPERLINK("https://app.astro.lead-studio.pro/product/0b048469-4090-404e-bc97-59a7305c2487")</f>
      </c>
    </row>
    <row r="801" spans="1:10" customHeight="0">
      <c r="A801" s="2" t="inlineStr">
        <is>
          <t>Процессоры (CPU)</t>
        </is>
      </c>
      <c r="B801" s="2" t="inlineStr">
        <is>
          <t>AMD</t>
        </is>
      </c>
      <c r="C801" s="2" t="inlineStr">
        <is>
          <t>100-000000591</t>
        </is>
      </c>
      <c r="D801" s="2" t="inlineStr">
        <is>
          <t>Центральный Процессор AMD RYZEN 7 7700X OEM (Raphael, 5nm, C8/T16, Base 4,50GHz, Turbo 5,40GHz, RDNA 2 Graphics, L3 32Mb, TDP 105W, SAM5)</t>
        </is>
      </c>
      <c r="E801" s="2">
        <v>100</v>
      </c>
      <c r="F801" s="2">
        <v>100</v>
      </c>
      <c r="H801" s="2">
        <v>364</v>
      </c>
      <c r="I801" s="2" t="inlineStr">
        <is>
          <t>$</t>
        </is>
      </c>
      <c r="J801" s="2">
        <f>HYPERLINK("https://app.astro.lead-studio.pro/product/313186ce-c451-4d97-b55e-d728e98a0b3c")</f>
      </c>
    </row>
    <row r="802" spans="1:10" customHeight="0">
      <c r="A802" s="2" t="inlineStr">
        <is>
          <t>Процессоры (CPU)</t>
        </is>
      </c>
      <c r="B802" s="2" t="inlineStr">
        <is>
          <t>AMD</t>
        </is>
      </c>
      <c r="C802" s="2" t="inlineStr">
        <is>
          <t>100-000000662</t>
        </is>
      </c>
      <c r="D802" s="2" t="inlineStr">
        <is>
          <t>Центральный Процессор AMD RYZEN 9 9900X OEM</t>
        </is>
      </c>
      <c r="E802" s="2">
        <v>100</v>
      </c>
      <c r="F802" s="2">
        <v>100</v>
      </c>
      <c r="H802" s="2">
        <v>546</v>
      </c>
      <c r="I802" s="2" t="inlineStr">
        <is>
          <t>$</t>
        </is>
      </c>
      <c r="J802" s="2">
        <f>HYPERLINK("https://app.astro.lead-studio.pro/product/6631bdff-828c-41f9-bce7-447557520672")</f>
      </c>
    </row>
    <row r="803" spans="1:10" customHeight="0">
      <c r="A803" s="2" t="inlineStr">
        <is>
          <t>Процессоры (CPU)</t>
        </is>
      </c>
      <c r="B803" s="2" t="inlineStr">
        <is>
          <t>AMD</t>
        </is>
      </c>
      <c r="C803" s="2" t="inlineStr">
        <is>
          <t>100-000001084</t>
        </is>
      </c>
      <c r="D803" s="2" t="inlineStr">
        <is>
          <t>Центральный Процессор AMD RYZEN 7 9800X3D OEM (Granite Ridge, 4nm, C8/T16, Base 4,7GHz, Turbo 5,2GHz, GPU Radeon Graphics, L3 96Mb, TDP 120W, SAM5)</t>
        </is>
      </c>
      <c r="E803" s="2">
        <v>61</v>
      </c>
      <c r="F803" s="2">
        <v>61</v>
      </c>
      <c r="H803" s="2">
        <v>904</v>
      </c>
      <c r="I803" s="2" t="inlineStr">
        <is>
          <t>$</t>
        </is>
      </c>
      <c r="J803" s="2">
        <f>HYPERLINK("https://app.astro.lead-studio.pro/product/414aa2ee-6338-400e-8c2f-0c00ea332e98")</f>
      </c>
    </row>
    <row r="804" spans="1:10" customHeight="0">
      <c r="A804" s="2" t="inlineStr">
        <is>
          <t>Процессоры (CPU)</t>
        </is>
      </c>
      <c r="B804" s="2" t="inlineStr">
        <is>
          <t>AMD</t>
        </is>
      </c>
      <c r="C804" s="2" t="inlineStr">
        <is>
          <t>100-000001277</t>
        </is>
      </c>
      <c r="D804" s="2" t="inlineStr">
        <is>
          <t>Центральный Процессор AMD RYZEN 9 9950X OEM (100-000001277)</t>
        </is>
      </c>
      <c r="E804" s="2">
        <v>5</v>
      </c>
      <c r="F804" s="2">
        <v>5</v>
      </c>
      <c r="H804" s="2">
        <v>781</v>
      </c>
      <c r="I804" s="2" t="inlineStr">
        <is>
          <t>$</t>
        </is>
      </c>
      <c r="J804" s="2">
        <f>HYPERLINK("https://app.astro.lead-studio.pro/product/6454c1c6-75ef-4779-b344-e2f0d21f1cff")</f>
      </c>
    </row>
    <row r="805" spans="1:10" customHeight="0">
      <c r="A805" s="2" t="inlineStr">
        <is>
          <t>Процессоры (CPU)</t>
        </is>
      </c>
      <c r="B805" s="2" t="inlineStr">
        <is>
          <t>AMD</t>
        </is>
      </c>
      <c r="C805" s="2" t="inlineStr">
        <is>
          <t>100-100000591WOF</t>
        </is>
      </c>
      <c r="D805" s="2" t="inlineStr">
        <is>
          <t>Центральный Процессор AMD RYZEN 7 7700X BOX (Raphael, 5nm, C8/T16, Base 4,50GHz, Turbo 5,40GHz, RDNA 2 Graphics, L3 32Mb, TDP 105W, w/o cooler, SAM5)</t>
        </is>
      </c>
      <c r="E805" s="2">
        <v>1</v>
      </c>
      <c r="F805" s="2">
        <v>1</v>
      </c>
      <c r="H805" s="2">
        <v>410</v>
      </c>
      <c r="I805" s="2" t="inlineStr">
        <is>
          <t>$</t>
        </is>
      </c>
      <c r="J805" s="2">
        <f>HYPERLINK("https://app.astro.lead-studio.pro/product/4a36e0f1-6ac8-4bb9-8ad5-e6588abefd01")</f>
      </c>
    </row>
    <row r="806" spans="1:10" customHeight="0">
      <c r="A806" s="2" t="inlineStr">
        <is>
          <t>Процессоры (CPU)</t>
        </is>
      </c>
      <c r="B806" s="2" t="inlineStr">
        <is>
          <t>AMD</t>
        </is>
      </c>
      <c r="C806" s="2" t="inlineStr">
        <is>
          <t>100-100000662WOF</t>
        </is>
      </c>
      <c r="D806" s="2" t="inlineStr">
        <is>
          <t>Центральный Процессор AMD RYZEN 9 9900X BOX (без кулера) (100-100000662WOF)</t>
        </is>
      </c>
      <c r="E806" s="2">
        <v>1</v>
      </c>
      <c r="F806" s="2">
        <v>1</v>
      </c>
      <c r="H806" s="2">
        <v>712</v>
      </c>
      <c r="I806" s="2" t="inlineStr">
        <is>
          <t>$</t>
        </is>
      </c>
      <c r="J806" s="2">
        <f>HYPERLINK("https://app.astro.lead-studio.pro/product/5d43f169-6da1-4a4e-af8c-d5fec1fd7499")</f>
      </c>
    </row>
    <row r="807" spans="1:10" customHeight="0">
      <c r="A807" s="2" t="inlineStr">
        <is>
          <t>Процессоры (CPU)</t>
        </is>
      </c>
      <c r="B807" s="2" t="inlineStr">
        <is>
          <t>AMD</t>
        </is>
      </c>
      <c r="C807" s="2" t="inlineStr">
        <is>
          <t>100-100001405WOZ</t>
        </is>
      </c>
      <c r="D807" s="2" t="inlineStr">
        <is>
          <t>Центральный Процессор AMD RYZEN 5 9600X BOX</t>
        </is>
      </c>
      <c r="E807" s="2">
        <v>21</v>
      </c>
      <c r="F807" s="2">
        <v>21</v>
      </c>
      <c r="H807" s="2">
        <v>314</v>
      </c>
      <c r="I807" s="2" t="inlineStr">
        <is>
          <t>$</t>
        </is>
      </c>
      <c r="J807" s="2">
        <f>HYPERLINK("https://app.astro.lead-studio.pro/product/7909481d-34fd-4f06-a651-875753033c89")</f>
      </c>
    </row>
    <row r="808" spans="1:10" customHeight="0">
      <c r="A808" s="2" t="inlineStr">
        <is>
          <t>Процессоры (CPU)</t>
        </is>
      </c>
      <c r="B808" s="2" t="inlineStr">
        <is>
          <t>AMD</t>
        </is>
      </c>
      <c r="C808" s="2" t="inlineStr">
        <is>
          <t>100-000000454</t>
        </is>
      </c>
      <c r="D808" s="2" t="inlineStr">
        <is>
          <t>Центральный Процессор AMD RYZEN Threadripper PRO 7985WX OEM (Storm Peak, 5nm, C64/T128, Base 3,2 GHz, Turbo 5,1 GHz, Without Graphics, L3 256MB, TDP 350W, sTR5)</t>
        </is>
      </c>
      <c r="E808" s="2">
        <v>3</v>
      </c>
      <c r="F808" s="2">
        <v>3</v>
      </c>
      <c r="H808" s="2">
        <v>9518</v>
      </c>
      <c r="I808" s="2" t="inlineStr">
        <is>
          <t>$</t>
        </is>
      </c>
      <c r="J808" s="2">
        <f>HYPERLINK("https://app.astro.lead-studio.pro/product/9f419542-463c-4ef3-aff3-eec109f5cf1c")</f>
      </c>
    </row>
    <row r="809" spans="1:10" customHeight="0">
      <c r="A809" s="2" t="inlineStr">
        <is>
          <t>Процессоры (CPU)</t>
        </is>
      </c>
      <c r="B809" s="2" t="inlineStr">
        <is>
          <t>AMD</t>
        </is>
      </c>
      <c r="C809" s="2" t="inlineStr">
        <is>
          <t>100-000000885</t>
        </is>
      </c>
      <c r="D809" s="2" t="inlineStr">
        <is>
          <t>Центральный Процессор AMD RYZEN Threadripper PRO 7965WX OEM (Storm Peak, 5nm, C24/T48, Base 4,2 GHz, Turbo 5,3 GHz, Without Graphics, L3 128MB, TDP 350W, sTR5)</t>
        </is>
      </c>
      <c r="E809" s="2">
        <v>1</v>
      </c>
      <c r="F809" s="2">
        <v>1</v>
      </c>
      <c r="H809" s="2">
        <v>3789</v>
      </c>
      <c r="I809" s="2" t="inlineStr">
        <is>
          <t>$</t>
        </is>
      </c>
      <c r="J809" s="2">
        <f>HYPERLINK("https://app.astro.lead-studio.pro/product/c0175852-dbd4-4c2d-a8ec-a615ee9cbe57")</f>
      </c>
    </row>
    <row r="810" spans="1:10" customHeight="0">
      <c r="A810" s="2" t="inlineStr">
        <is>
          <t>Процессоры (CPU)</t>
        </is>
      </c>
      <c r="B810" s="2" t="inlineStr">
        <is>
          <t>AMD</t>
        </is>
      </c>
      <c r="C810" s="2" t="inlineStr">
        <is>
          <t>100-000000087</t>
        </is>
      </c>
      <c r="D810" s="2" t="inlineStr">
        <is>
          <t>Центральный Процессор AMD RYZEN Threadripper PRO 3995WX OEM (Castle Peak, 7nm, C64/T128, Base 2,70GHz, Turbo 4,20GHz, Without Graphics, L3 256Mb, TDP 280W, w/o cooler, sWRX8 (4094)</t>
        </is>
      </c>
      <c r="E810" s="2">
        <v>1</v>
      </c>
      <c r="F810" s="2">
        <v>1</v>
      </c>
      <c r="H810" s="2">
        <v>3055</v>
      </c>
      <c r="I810" s="2" t="inlineStr">
        <is>
          <t>$</t>
        </is>
      </c>
      <c r="J810" s="2">
        <f>HYPERLINK("https://app.astro.lead-studio.pro/product/b7b28fd3-cd40-4b13-8549-becfdb56cf19")</f>
      </c>
    </row>
    <row r="811" spans="1:10" customHeight="0">
      <c r="A811" s="2" t="inlineStr">
        <is>
          <t>Процессоры (CPU)</t>
        </is>
      </c>
      <c r="B811" s="2" t="inlineStr">
        <is>
          <t>Intel</t>
        </is>
      </c>
      <c r="C811" s="2" t="inlineStr">
        <is>
          <t>CM8071504549230</t>
        </is>
      </c>
      <c r="D811" s="2" t="inlineStr">
        <is>
          <t>Центральный Процессор Intel Core i9-12900K OEM</t>
        </is>
      </c>
      <c r="E811" s="2">
        <v>5</v>
      </c>
      <c r="F811" s="2">
        <v>5</v>
      </c>
      <c r="H811" s="2">
        <v>411</v>
      </c>
      <c r="I811" s="2" t="inlineStr">
        <is>
          <t>$</t>
        </is>
      </c>
      <c r="J811" s="2">
        <f>HYPERLINK("https://app.astro.lead-studio.pro/product/7436f361-fc3b-4fb1-bd4d-ea4026f11fd6")</f>
      </c>
    </row>
    <row r="812" spans="1:10" customHeight="0">
      <c r="A812" s="2" t="inlineStr">
        <is>
          <t>Процессоры (CPU)</t>
        </is>
      </c>
      <c r="B812" s="2" t="inlineStr">
        <is>
          <t>Intel</t>
        </is>
      </c>
      <c r="C812" s="2" t="inlineStr">
        <is>
          <t>CM8071504549231</t>
        </is>
      </c>
      <c r="D812" s="2" t="inlineStr">
        <is>
          <t>Центральный Процессор Intel Core i9-12900KF OEM (Alder Lake, Intel 7, C16(8EC/8PC)/T24, Base 2,40GHz(EC), Performance 3,20GHz(PC), Turbo 5,10GHz, Max Turbo 5,20GHz, Without Graphics, L2 14Mb, Cache 30Mb, Base TDP 125W, Turbo TDP 241W, w/o cooler, S1700) {98}</t>
        </is>
      </c>
      <c r="E812" s="2">
        <v>5</v>
      </c>
      <c r="F812" s="2">
        <v>5</v>
      </c>
      <c r="H812" s="2">
        <v>367</v>
      </c>
      <c r="I812" s="2" t="inlineStr">
        <is>
          <t>$</t>
        </is>
      </c>
      <c r="J812" s="2">
        <f>HYPERLINK("https://app.astro.lead-studio.pro/product/8274ad72-020f-4e38-bff8-d07b2fdd6a8f")</f>
      </c>
    </row>
    <row r="813" spans="1:10" customHeight="0">
      <c r="A813" s="2" t="inlineStr">
        <is>
          <t>Процессоры (CPU)</t>
        </is>
      </c>
      <c r="B813" s="2" t="inlineStr">
        <is>
          <t>Intel</t>
        </is>
      </c>
      <c r="C813" s="2" t="inlineStr">
        <is>
          <t>CM8071504549317</t>
        </is>
      </c>
      <c r="D813" s="2" t="inlineStr">
        <is>
          <t>Центральный Процессор Intel Core i9-12900 OEM (Alder Lake, Intel 7, C16(8EC/8PC)/T24, Base 1,80GHz(EC), Performance Base 2,40GHz(PC), Turbo 5,00GHz, Max Turbo 5,10GHz, UHD 770, L2 14Mb, Cache 30Mb, Base TDP 65W, Turbo TDP 202W, S1700)</t>
        </is>
      </c>
      <c r="E813" s="2">
        <v>5</v>
      </c>
      <c r="F813" s="2">
        <v>5</v>
      </c>
      <c r="H813" s="2">
        <v>486</v>
      </c>
      <c r="I813" s="2" t="inlineStr">
        <is>
          <t>$</t>
        </is>
      </c>
      <c r="J813" s="2">
        <f>HYPERLINK("https://app.astro.lead-studio.pro/product/77f6abff-c8ec-4db3-872e-17dfdf1e52df")</f>
      </c>
    </row>
    <row r="814" spans="1:10" customHeight="0">
      <c r="A814" s="2" t="inlineStr">
        <is>
          <t>Процессоры (CPU)</t>
        </is>
      </c>
      <c r="B814" s="2" t="inlineStr">
        <is>
          <t>Intel</t>
        </is>
      </c>
      <c r="C814" s="2" t="inlineStr">
        <is>
          <t>CM8071504555117</t>
        </is>
      </c>
      <c r="D814" s="2" t="inlineStr">
        <is>
          <t>Центральный Процессор Intel Core i7-12700T OEM (Alder Lake, Intel 7, C12(4EC/8PC)/T20, Base 1,00GHz(EC), Performance Base 1,40GHz(PC), Turbo 4,70GHz, Max Turbo 4,70GHz, UHD 770, L2 12Mb, Cache 25Mb, Base TDP 35W, Turbo TDP 99W, S1700)</t>
        </is>
      </c>
      <c r="E814" s="2">
        <v>5</v>
      </c>
      <c r="F814" s="2">
        <v>5</v>
      </c>
      <c r="H814" s="2">
        <v>426</v>
      </c>
      <c r="I814" s="2" t="inlineStr">
        <is>
          <t>$</t>
        </is>
      </c>
      <c r="J814" s="2">
        <f>HYPERLINK("https://app.astro.lead-studio.pro/product/bc90e079-22f2-4448-ab42-cec1c6c24cc5")</f>
      </c>
    </row>
    <row r="815" spans="1:10" customHeight="0">
      <c r="A815" s="2" t="inlineStr">
        <is>
          <t>Процессоры (CPU)</t>
        </is>
      </c>
      <c r="B815" s="2" t="inlineStr">
        <is>
          <t>Intel</t>
        </is>
      </c>
      <c r="C815" s="2" t="inlineStr">
        <is>
          <t>CM8071504820503</t>
        </is>
      </c>
      <c r="D815" s="2" t="inlineStr">
        <is>
          <t>Центральный Процессор Intel Core i9-13900KS OEM (36M Cache, up to 6.00GHz)</t>
        </is>
      </c>
      <c r="E815" s="2">
        <v>3</v>
      </c>
      <c r="F815" s="2">
        <v>3</v>
      </c>
      <c r="H815" s="2">
        <v>830</v>
      </c>
      <c r="I815" s="2" t="inlineStr">
        <is>
          <t>$</t>
        </is>
      </c>
      <c r="J815" s="2">
        <f>HYPERLINK("https://app.astro.lead-studio.pro/product/98bc1750-3a38-44d4-ba3c-debb6b084396")</f>
      </c>
    </row>
    <row r="816" spans="1:10" customHeight="0">
      <c r="A816" s="2" t="inlineStr">
        <is>
          <t>Процессоры (CPU)</t>
        </is>
      </c>
      <c r="B816" s="2" t="inlineStr">
        <is>
          <t>Intel</t>
        </is>
      </c>
      <c r="C816" s="2" t="inlineStr">
        <is>
          <t>CM8071504820605</t>
        </is>
      </c>
      <c r="D816" s="2" t="inlineStr">
        <is>
          <t>Центральный Процессор Intel Core i9-13900 OEM (Raptor Lake, Intel 7, Efficient-core Base 1.50GHz(EC), Performance Base 2,00GHz(PC), Max Turbo 5,60GHz, UHD 770, L2 32Mb, Cache 36Mb, Base TDP 65W, Turbo TDP 219W, S1700)</t>
        </is>
      </c>
      <c r="E816" s="2">
        <v>7</v>
      </c>
      <c r="F816" s="2">
        <v>7</v>
      </c>
      <c r="H816" s="2">
        <v>683</v>
      </c>
      <c r="I816" s="2" t="inlineStr">
        <is>
          <t>$</t>
        </is>
      </c>
      <c r="J816" s="2">
        <f>HYPERLINK("https://app.astro.lead-studio.pro/product/fdb00d0a-0d58-4dab-99ba-964203e63d64")</f>
      </c>
    </row>
    <row r="817" spans="1:10" customHeight="0">
      <c r="A817" s="2" t="inlineStr">
        <is>
          <t>Процессоры (CPU)</t>
        </is>
      </c>
      <c r="B817" s="2" t="inlineStr">
        <is>
          <t>Intel</t>
        </is>
      </c>
      <c r="C817" s="2" t="inlineStr">
        <is>
          <t>CM8071504820606</t>
        </is>
      </c>
      <c r="D817" s="2" t="inlineStr">
        <is>
          <t>Центральный Процессор Intel Core i9-13900F OEM (Raptor Lake, Intel 7, Efficient-core Base 1.50GHz(EC), Performance Base 2,00GHz(PC), Max Turbo 5,60GHz, L2 32Mb, Cache 36Mb, Base TDP 65W, Turbo TDP 219W, S1700)</t>
        </is>
      </c>
      <c r="E817" s="2">
        <v>49</v>
      </c>
      <c r="F817" s="2">
        <v>49</v>
      </c>
      <c r="H817" s="2">
        <v>557</v>
      </c>
      <c r="I817" s="2" t="inlineStr">
        <is>
          <t>$</t>
        </is>
      </c>
      <c r="J817" s="2">
        <f>HYPERLINK("https://app.astro.lead-studio.pro/product/d8c183a4-37e7-42dd-9877-978b8b7626a6")</f>
      </c>
    </row>
    <row r="818" spans="1:10" customHeight="0">
      <c r="A818" s="2" t="inlineStr">
        <is>
          <t>Процессоры (CPU)</t>
        </is>
      </c>
      <c r="B818" s="2" t="inlineStr">
        <is>
          <t>Intel</t>
        </is>
      </c>
      <c r="C818" s="2" t="inlineStr">
        <is>
          <t>CM8071504820609</t>
        </is>
      </c>
      <c r="D818" s="2" t="inlineStr">
        <is>
          <t>Центральный Процессор Intel Core i9-14900 OEM (Raptor Lake, Intel 7, C24(16EC/8PC)/T32, Base 1,50GHz(EC), Performance Base 2,00GHz(PC), Turbo 4,30GHz(EC), Turbo 5,40GHz(PC), Max Turbo 5,80GHz, UHD 770, L2 32Mb, Cache 36Mb, Base TDP 65W, Turbo TDP 219W, S1700)</t>
        </is>
      </c>
      <c r="E818" s="2">
        <v>77</v>
      </c>
      <c r="F818" s="2">
        <v>77</v>
      </c>
      <c r="H818" s="2">
        <v>704</v>
      </c>
      <c r="I818" s="2" t="inlineStr">
        <is>
          <t>$</t>
        </is>
      </c>
      <c r="J818" s="2">
        <f>HYPERLINK("https://app.astro.lead-studio.pro/product/9e8cec19-65fe-4fd4-a15a-bff29a7b8573")</f>
      </c>
    </row>
    <row r="819" spans="1:10" customHeight="0">
      <c r="A819" s="2" t="inlineStr">
        <is>
          <t>Процессоры (CPU)</t>
        </is>
      </c>
      <c r="B819" s="2" t="inlineStr">
        <is>
          <t>Intel</t>
        </is>
      </c>
      <c r="C819" s="2" t="inlineStr">
        <is>
          <t>CM8071504820610</t>
        </is>
      </c>
      <c r="D819" s="2" t="inlineStr">
        <is>
          <t>Центральный Процессор Intel Core i9-14900F OEM (Raptor Lake, Intel 7, C24(16EC/8PC)/T32, Base 1,50GHz(EC), Performance Base 2,00GHz(PC), Turbo 4,30GHz(EC), Turbo 5,40GHz(PC), Max Turbo 5,80GHz, Without Graphics, L2 32Mb, Cache 36Mb, Base TDP 65W, Turbo TDP 219W, S1700)</t>
        </is>
      </c>
      <c r="E819" s="2">
        <v>5</v>
      </c>
      <c r="F819" s="2">
        <v>5</v>
      </c>
      <c r="H819" s="2">
        <v>663</v>
      </c>
      <c r="I819" s="2" t="inlineStr">
        <is>
          <t>$</t>
        </is>
      </c>
      <c r="J819" s="2">
        <f>HYPERLINK("https://app.astro.lead-studio.pro/product/04d11bcf-257c-43db-a372-8f9472b0a96a")</f>
      </c>
    </row>
    <row r="820" spans="1:10" customHeight="0">
      <c r="A820" s="2" t="inlineStr">
        <is>
          <t>Процессоры (CPU)</t>
        </is>
      </c>
      <c r="B820" s="2" t="inlineStr">
        <is>
          <t>Intel</t>
        </is>
      </c>
      <c r="C820" s="2" t="inlineStr">
        <is>
          <t>CM8071504820705</t>
        </is>
      </c>
      <c r="D820" s="2" t="inlineStr">
        <is>
          <t>Центральный Процессор Intel Core i7-13700K OEM (Raptor Lake, Intel 7, C16(8EC/8PC)/T24, Efficient-core Base 2.50GHz(EC), Performance Base 3,40GHz(PC), Turbo 5,40GHz, Max Turbo 5,40GHz, UHD 770, L2 24Mb, Cache 30Mb, Base TDP 125W, Turbo TDP 253W, S1700)</t>
        </is>
      </c>
      <c r="E820" s="2">
        <v>5</v>
      </c>
      <c r="F820" s="2">
        <v>5</v>
      </c>
      <c r="H820" s="2">
        <v>413</v>
      </c>
      <c r="I820" s="2" t="inlineStr">
        <is>
          <t>$</t>
        </is>
      </c>
      <c r="J820" s="2">
        <f>HYPERLINK("https://app.astro.lead-studio.pro/product/be0c3604-4f02-45b3-a782-71e02e2fa471")</f>
      </c>
    </row>
    <row r="821" spans="1:10" customHeight="0">
      <c r="A821" s="2" t="inlineStr">
        <is>
          <t>Процессоры (CPU)</t>
        </is>
      </c>
      <c r="B821" s="2" t="inlineStr">
        <is>
          <t>Intel</t>
        </is>
      </c>
      <c r="C821" s="2" t="inlineStr">
        <is>
          <t>CM8071504820706</t>
        </is>
      </c>
      <c r="D821" s="2" t="inlineStr">
        <is>
          <t>Центральный Процессор Intel Core i7-13700KF OEM (Raptor Lake, Intel 7, C16(8EC/8PC)/T24, Efficient-core Base 2.50GHz(EC), Performance Base 3,40GHz(PC), Turbo 5,40GHz, Max Turbo 5,40GHz, Without Graphics, L2 24Mb, Cache 30Mb, Base TDP 125W, Turbo TDP 253W, S1700)</t>
        </is>
      </c>
      <c r="E821" s="2">
        <v>1</v>
      </c>
      <c r="F821" s="2">
        <v>1</v>
      </c>
      <c r="H821" s="2">
        <v>389</v>
      </c>
      <c r="I821" s="2" t="inlineStr">
        <is>
          <t>$</t>
        </is>
      </c>
      <c r="J821" s="2">
        <f>HYPERLINK("https://app.astro.lead-studio.pro/product/b305d3f3-b713-41a4-b03d-fb929c86f843")</f>
      </c>
    </row>
    <row r="822" spans="1:10" customHeight="0">
      <c r="A822" s="2" t="inlineStr">
        <is>
          <t>Процессоры (CPU)</t>
        </is>
      </c>
      <c r="B822" s="2" t="inlineStr">
        <is>
          <t>Intel</t>
        </is>
      </c>
      <c r="C822" s="2" t="inlineStr">
        <is>
          <t>CM8071504820721</t>
        </is>
      </c>
      <c r="D822" s="2" t="inlineStr">
        <is>
          <t>Центральный Процессор Intel Core i7-14700K OEM (Raptor Lake, Intel 7, C20(12EC/8PC)/T20, Efficient-core Base 2.5GHz(EC), Performance Base 3,4GHz(PC), Turbo 5,6GHz, Max Turbo 5,6GHz, UHD 770, L2 28Mb, Cache 33Mb, Base TDP 125W, Turbo TDP 253W, S1700)</t>
        </is>
      </c>
      <c r="E822" s="2">
        <v>100</v>
      </c>
      <c r="F822" s="2">
        <v>100</v>
      </c>
      <c r="H822" s="2">
        <v>464</v>
      </c>
      <c r="I822" s="2" t="inlineStr">
        <is>
          <t>$</t>
        </is>
      </c>
      <c r="J822" s="2">
        <f>HYPERLINK("https://app.astro.lead-studio.pro/product/221e1f1d-40b2-40ef-8734-6b3219b362b3")</f>
      </c>
    </row>
    <row r="823" spans="1:10" customHeight="0">
      <c r="A823" s="2" t="inlineStr">
        <is>
          <t>Процессоры (CPU)</t>
        </is>
      </c>
      <c r="B823" s="2" t="inlineStr">
        <is>
          <t>Intel</t>
        </is>
      </c>
      <c r="C823" s="2" t="inlineStr">
        <is>
          <t>CM8071504820722</t>
        </is>
      </c>
      <c r="D823" s="2" t="inlineStr">
        <is>
          <t>Центральный Процессор Intel Core i7-14700KF OEM (Raptor Lake, Intel 7, C20(12EC/8PC)/T20, Efficient-core Base 2.5GHz(EC), Performance Base 3,4GHz(PC), Turbo 5,6GHz, Max Turbo 5,6GHz, Without Graphics, L2 28Mb, Cache 33Mb, Base TDP 125W, Turbo TDP 253W, S1700)</t>
        </is>
      </c>
      <c r="E823" s="2">
        <v>100</v>
      </c>
      <c r="F823" s="2">
        <v>100</v>
      </c>
      <c r="H823" s="2">
        <v>446</v>
      </c>
      <c r="I823" s="2" t="inlineStr">
        <is>
          <t>$</t>
        </is>
      </c>
      <c r="J823" s="2">
        <f>HYPERLINK("https://app.astro.lead-studio.pro/product/160d35eb-f8de-4e95-8c0d-a5c9dbf0e209")</f>
      </c>
    </row>
    <row r="824" spans="1:10" customHeight="0">
      <c r="A824" s="2" t="inlineStr">
        <is>
          <t>Процессоры (CPU)</t>
        </is>
      </c>
      <c r="B824" s="2" t="inlineStr">
        <is>
          <t>Intel</t>
        </is>
      </c>
      <c r="C824" s="2" t="inlineStr">
        <is>
          <t>CM8071504820806</t>
        </is>
      </c>
      <c r="D824" s="2" t="inlineStr">
        <is>
          <t>Центральный Процессор Intel Core i7-13700F OEM (Raptor Lake, Intel 7, 30M Cache, up to 5.20GHz, S1700)</t>
        </is>
      </c>
      <c r="E824" s="2">
        <v>55</v>
      </c>
      <c r="F824" s="2">
        <v>55</v>
      </c>
      <c r="H824" s="2">
        <v>356</v>
      </c>
      <c r="I824" s="2" t="inlineStr">
        <is>
          <t>$</t>
        </is>
      </c>
      <c r="J824" s="2">
        <f>HYPERLINK("https://app.astro.lead-studio.pro/product/ccb03193-4f8f-4760-a455-01f5cf82c2ff")</f>
      </c>
    </row>
    <row r="825" spans="1:10" customHeight="0">
      <c r="A825" s="2" t="inlineStr">
        <is>
          <t>Процессоры (CPU)</t>
        </is>
      </c>
      <c r="B825" s="2" t="inlineStr">
        <is>
          <t>Intel</t>
        </is>
      </c>
      <c r="C825" s="2" t="inlineStr">
        <is>
          <t>CM8071504820816</t>
        </is>
      </c>
      <c r="D825" s="2" t="inlineStr">
        <is>
          <t>Центральный Процессор Intel Core i7-14700F OEM (Raptor Lake, Intel 7, C20(12EC/8PC)/T28, Base 1,50GHz(EC), Performance Base 2,10GHz(PC), Turbo 4,20GHz(EC), Turbo 5,30GHz(PC), Max Turbo 5,40GHz, Without Graphics, L2 28Mb, Cache 33Mb, Base TDP 65W, Turbo TDP 219W, S1700)</t>
        </is>
      </c>
      <c r="E825" s="2">
        <v>88</v>
      </c>
      <c r="F825" s="2">
        <v>88</v>
      </c>
      <c r="H825" s="2">
        <v>383</v>
      </c>
      <c r="I825" s="2" t="inlineStr">
        <is>
          <t>$</t>
        </is>
      </c>
      <c r="J825" s="2">
        <f>HYPERLINK("https://app.astro.lead-studio.pro/product/5cac0d38-fdb9-4c6d-907c-44f6dbb95d5c")</f>
      </c>
    </row>
    <row r="826" spans="1:10" customHeight="0">
      <c r="A826" s="2" t="inlineStr">
        <is>
          <t>Процессоры (CPU)</t>
        </is>
      </c>
      <c r="B826" s="2" t="inlineStr">
        <is>
          <t>Intel</t>
        </is>
      </c>
      <c r="C826" s="2" t="inlineStr">
        <is>
          <t>CM8071504820817</t>
        </is>
      </c>
      <c r="D826" s="2" t="inlineStr">
        <is>
          <t>Центральный Процессор Intel Core i7-14700 OEM (Raptor Lake, Intel 7, C20(12EC/8PC)/T28, Base 1,50GHz(EC), Performance Base 2,10GHz(PC), Turbo 4,20GHz(EC), Turbo 5,30GHz(PC), Max Turbo 5,40GHz, UHD 770, L2 28Mb, Cache 33Mb, Base TDP 65W, Turbo TDP 219W, S1700)</t>
        </is>
      </c>
      <c r="E826" s="2">
        <v>9</v>
      </c>
      <c r="F826" s="2">
        <v>9</v>
      </c>
      <c r="H826" s="2">
        <v>423</v>
      </c>
      <c r="I826" s="2" t="inlineStr">
        <is>
          <t>$</t>
        </is>
      </c>
      <c r="J826" s="2">
        <f>HYPERLINK("https://app.astro.lead-studio.pro/product/9d75a3e0-7c3c-4470-916c-7f6e1c5b8075")</f>
      </c>
    </row>
    <row r="827" spans="1:10" customHeight="0">
      <c r="A827" s="2" t="inlineStr">
        <is>
          <t>Процессоры (CPU)</t>
        </is>
      </c>
      <c r="B827" s="2" t="inlineStr">
        <is>
          <t>Intel</t>
        </is>
      </c>
      <c r="C827" s="2" t="inlineStr">
        <is>
          <t>CM8071505094011</t>
        </is>
      </c>
      <c r="D827" s="2" t="inlineStr">
        <is>
          <t>Центральный Процессор Intel Core i9-13900K OEM (Raptor Lake, Intel 7, C24(16EC/8PC)/T32, Efficient-core Base 2.20GHz(EC), Performance Base 3,00GHz(PC), Turbo 5,70GHz, Max Turbo 5,80GHz, UHD 770, L2 32Mb, Cache 36Mb, Base TDP 125W, Turbo TDP 253W, S1700)</t>
        </is>
      </c>
      <c r="E827" s="2">
        <v>5</v>
      </c>
      <c r="F827" s="2">
        <v>5</v>
      </c>
      <c r="H827" s="2">
        <v>578</v>
      </c>
      <c r="I827" s="2" t="inlineStr">
        <is>
          <t>$</t>
        </is>
      </c>
      <c r="J827" s="2">
        <f>HYPERLINK("https://app.astro.lead-studio.pro/product/fc1ddce7-31d8-473e-aa93-f808218c2e58")</f>
      </c>
    </row>
    <row r="828" spans="1:10" customHeight="0">
      <c r="A828" s="2" t="inlineStr">
        <is>
          <t>Процессоры (CPU)</t>
        </is>
      </c>
      <c r="B828" s="2" t="inlineStr">
        <is>
          <t>Intel</t>
        </is>
      </c>
      <c r="C828" s="2" t="inlineStr">
        <is>
          <t>CM8071505094012</t>
        </is>
      </c>
      <c r="D828" s="2" t="inlineStr">
        <is>
          <t>Центральный Процессор Intel Core i9-13900KF OEM (Raptor Lake, Intel 7, C24(16EC/8PC)/T32, Efficient-core Base 2.20GHz(EC), Performance Base 3,00GHz(PC), Turbo 5,70GHz, Max Turbo 5,80GHz, Without Graphics, L2 32Mb, Cache 36Mb, Base TDP 125W, Turbo TDP 253W, S1700)</t>
        </is>
      </c>
      <c r="E828" s="2">
        <v>5</v>
      </c>
      <c r="F828" s="2">
        <v>5</v>
      </c>
      <c r="H828" s="2">
        <v>548</v>
      </c>
      <c r="I828" s="2" t="inlineStr">
        <is>
          <t>$</t>
        </is>
      </c>
      <c r="J828" s="2">
        <f>HYPERLINK("https://app.astro.lead-studio.pro/product/e02576a5-c6e9-40cd-89d4-0593f67146eb")</f>
      </c>
    </row>
    <row r="829" spans="1:10" customHeight="0">
      <c r="A829" s="2" t="inlineStr">
        <is>
          <t>Процессоры (CPU)</t>
        </is>
      </c>
      <c r="B829" s="2" t="inlineStr">
        <is>
          <t>Intel</t>
        </is>
      </c>
      <c r="C829" s="2" t="inlineStr">
        <is>
          <t>CM8071505094017</t>
        </is>
      </c>
      <c r="D829" s="2" t="inlineStr">
        <is>
          <t>Центральный Процессор Intel Core i9-14900K OEM (Raptor Lake, Intel 7, C24(16EC/8PC)/T20, Efficient-core Base 2.4GHz(EC), Performance Base 3,2GHz(PC), Turbo 5,8GHz, Max Turbo 6,0GHz, UHD 770, L2 32Mb, Cache 36Mb, Base TDP 125W, Turbo TDP 253W, S1700)</t>
        </is>
      </c>
      <c r="E829" s="2">
        <v>100</v>
      </c>
      <c r="F829" s="2">
        <v>100</v>
      </c>
      <c r="H829" s="2">
        <v>582</v>
      </c>
      <c r="I829" s="2" t="inlineStr">
        <is>
          <t>$</t>
        </is>
      </c>
      <c r="J829" s="2">
        <f>HYPERLINK("https://app.astro.lead-studio.pro/product/259a7225-9b8b-47e8-ac03-c0cb32e16005")</f>
      </c>
    </row>
    <row r="830" spans="1:10" customHeight="0">
      <c r="A830" s="2" t="inlineStr">
        <is>
          <t>Процессоры (CPU)</t>
        </is>
      </c>
      <c r="B830" s="2" t="inlineStr">
        <is>
          <t>Intel</t>
        </is>
      </c>
      <c r="C830" s="2" t="inlineStr">
        <is>
          <t>CM8071505094018</t>
        </is>
      </c>
      <c r="D830" s="2" t="inlineStr">
        <is>
          <t>Центральный Процессор Intel Core i9-14900KF OEM (Raptor Lake, Intel 7, C24(16EC/8PC)/T20, Efficient-core Base 2.4GHz(EC), Performance Base 3,2GHz(PC), Turbo 5,8GHz, Max Turbo 6,0GHz, Without Graphics, L2 32Mb, Cache 36Mb, Base TDP 125W, Turbo TDP 253W, S1700)</t>
        </is>
      </c>
      <c r="E830" s="2">
        <v>100</v>
      </c>
      <c r="F830" s="2">
        <v>100</v>
      </c>
      <c r="H830" s="2">
        <v>548</v>
      </c>
      <c r="I830" s="2" t="inlineStr">
        <is>
          <t>$</t>
        </is>
      </c>
      <c r="J830" s="2">
        <f>HYPERLINK("https://app.astro.lead-studio.pro/product/6bcb4298-34ad-4cf3-88cf-c48972b8ce49")</f>
      </c>
    </row>
    <row r="831" spans="1:10" customHeight="0">
      <c r="A831" s="2" t="inlineStr">
        <is>
          <t>Процессоры (CPU)</t>
        </is>
      </c>
      <c r="B831" s="2" t="inlineStr">
        <is>
          <t>Intel</t>
        </is>
      </c>
      <c r="C831" s="2" t="inlineStr">
        <is>
          <t>AT807680640F</t>
        </is>
      </c>
      <c r="D831" s="2" t="inlineStr">
        <is>
          <t>Центральный Процессор Intel Core Ultra 5 245K OEM (Arrow Lake, C14(8EC/6PC)/T14, 3,6/5,2GHz, GPU Intel Graphics, L2 26Mb, Cache 24Mb, TDP 125/159W, S1851)</t>
        </is>
      </c>
      <c r="E831" s="2">
        <v>86</v>
      </c>
      <c r="F831" s="2">
        <v>86</v>
      </c>
      <c r="H831" s="2">
        <v>390</v>
      </c>
      <c r="I831" s="2" t="inlineStr">
        <is>
          <t>$</t>
        </is>
      </c>
      <c r="J831" s="2">
        <f>HYPERLINK("https://app.astro.lead-studio.pro/product/82bc89e0-0278-4bd9-9198-01155bc2547a")</f>
      </c>
    </row>
    <row r="832" spans="1:10" customHeight="0">
      <c r="A832" s="2" t="inlineStr">
        <is>
          <t>Процессоры (CPU)</t>
        </is>
      </c>
      <c r="B832" s="2" t="inlineStr">
        <is>
          <t>Intel</t>
        </is>
      </c>
      <c r="C832" s="2" t="inlineStr">
        <is>
          <t>AT8076806410</t>
        </is>
      </c>
      <c r="D832" s="2" t="inlineStr">
        <is>
          <t>Центральный Процессор Intel Core Ultra 7 265KF OEM (Arrow Lake, C20(12EC/8PC)/T20, 3,3/5,5GHz, Without Graphics, L2 36Mb, Cache 30Mb, TDP 125/250W, S1851)</t>
        </is>
      </c>
      <c r="E832" s="2">
        <v>13</v>
      </c>
      <c r="F832" s="2">
        <v>13</v>
      </c>
      <c r="H832" s="2">
        <v>528</v>
      </c>
      <c r="I832" s="2" t="inlineStr">
        <is>
          <t>$</t>
        </is>
      </c>
      <c r="J832" s="2">
        <f>HYPERLINK("https://app.astro.lead-studio.pro/product/abacf3ac-6432-4c72-87c6-55c595333ad5")</f>
      </c>
    </row>
    <row r="833" spans="1:10" customHeight="0">
      <c r="A833" s="2" t="inlineStr">
        <is>
          <t>Процессоры (CPU)</t>
        </is>
      </c>
      <c r="B833" s="2" t="inlineStr">
        <is>
          <t>Intel</t>
        </is>
      </c>
      <c r="C833" s="2" t="inlineStr">
        <is>
          <t>AT8076806412</t>
        </is>
      </c>
      <c r="D833" s="2" t="inlineStr">
        <is>
          <t>Центральный Процессор Intel Core Ultra 7 265K OEM (Arrow Lake, C20(12EC/8PC)/T20, 3,3/5,5GHz, GPU Intel Graphics, L2 36Mb, Cache 30Mb, TDP 125/250W, S1851)</t>
        </is>
      </c>
      <c r="E833" s="2">
        <v>35</v>
      </c>
      <c r="F833" s="2">
        <v>35</v>
      </c>
      <c r="H833" s="2">
        <v>542</v>
      </c>
      <c r="I833" s="2" t="inlineStr">
        <is>
          <t>$</t>
        </is>
      </c>
      <c r="J833" s="2">
        <f>HYPERLINK("https://app.astro.lead-studio.pro/product/1ce53dc2-3ef7-46d4-81fe-78c77d36230b")</f>
      </c>
    </row>
    <row r="834" spans="1:10" customHeight="0">
      <c r="A834" s="2" t="inlineStr">
        <is>
          <t>Процессоры (CPU)</t>
        </is>
      </c>
      <c r="B834" s="2" t="inlineStr">
        <is>
          <t>Intel</t>
        </is>
      </c>
      <c r="C834" s="2" t="inlineStr">
        <is>
          <t>AT8076806414</t>
        </is>
      </c>
      <c r="D834" s="2" t="inlineStr">
        <is>
          <t>Центральный Процессор Intel Core Ultra 5 245KF OEM (Arrow Lake, C14(8EC/6PC)/T14, 3,6/5,2GHz, Without Graphics, L2 26Mb, Cache 24Mb, TDP 125/159W, S1851)</t>
        </is>
      </c>
      <c r="E834" s="2">
        <v>100</v>
      </c>
      <c r="F834" s="2">
        <v>100</v>
      </c>
      <c r="H834" s="2">
        <v>381</v>
      </c>
      <c r="I834" s="2" t="inlineStr">
        <is>
          <t>$</t>
        </is>
      </c>
      <c r="J834" s="2">
        <f>HYPERLINK("https://app.astro.lead-studio.pro/product/f6d060a0-292e-4e14-9e5b-4af6d0dc6a06")</f>
      </c>
    </row>
    <row r="835" spans="1:10" customHeight="0">
      <c r="A835" s="2" t="inlineStr">
        <is>
          <t>Процессоры (CPU)</t>
        </is>
      </c>
      <c r="B835" s="2" t="inlineStr">
        <is>
          <t>Intel</t>
        </is>
      </c>
      <c r="C835" s="2" t="inlineStr">
        <is>
          <t>AT8076806419</t>
        </is>
      </c>
      <c r="D835" s="2" t="inlineStr">
        <is>
          <t>Центральный Процессор Intel Core Ultra 9 285K OEM (Arrow Lake, C24(16EC/8PC)/T24, 3,2/5,7GHz, GPU Intel Graphics, L2 40Mb, Cache 36Mb, TDP 125/250W, S1851)</t>
        </is>
      </c>
      <c r="E835" s="2">
        <v>100</v>
      </c>
      <c r="F835" s="2">
        <v>100</v>
      </c>
      <c r="H835" s="2">
        <v>829</v>
      </c>
      <c r="I835" s="2" t="inlineStr">
        <is>
          <t>$</t>
        </is>
      </c>
      <c r="J835" s="2">
        <f>HYPERLINK("https://app.astro.lead-studio.pro/product/3f4690bc-e7e7-4c09-b2e3-8675a6f3574d")</f>
      </c>
    </row>
    <row r="836" spans="1:10" customHeight="0">
      <c r="A836" s="2" t="inlineStr">
        <is>
          <t>Процессоры (CPU)</t>
        </is>
      </c>
      <c r="B836" s="2" t="inlineStr">
        <is>
          <t>Intel</t>
        </is>
      </c>
      <c r="C836" s="2" t="inlineStr">
        <is>
          <t>BX80768245K</t>
        </is>
      </c>
      <c r="D836" s="2" t="inlineStr">
        <is>
          <t>Центральный Процессор Intel Core Ultra 5 245K BOX (Arrow Lake, C14(8EC/6PC)/T14, 3,6/5,2GHz, GPU Intel Graphics, L2 26Mb, Cache 24Mb, TDP 125/159W, S1851)</t>
        </is>
      </c>
      <c r="E836" s="2">
        <v>95</v>
      </c>
      <c r="F836" s="2">
        <v>95</v>
      </c>
      <c r="H836" s="2">
        <v>421</v>
      </c>
      <c r="I836" s="2" t="inlineStr">
        <is>
          <t>$</t>
        </is>
      </c>
      <c r="J836" s="2">
        <f>HYPERLINK("https://app.astro.lead-studio.pro/product/e7332ae5-1edf-4e42-8504-6847fca52744")</f>
      </c>
    </row>
    <row r="837" spans="1:10" customHeight="0">
      <c r="A837" s="2" t="inlineStr">
        <is>
          <t>Процессоры (CPU)</t>
        </is>
      </c>
      <c r="B837" s="2" t="inlineStr">
        <is>
          <t>Intel</t>
        </is>
      </c>
      <c r="C837" s="2" t="inlineStr">
        <is>
          <t>BX80768245KF</t>
        </is>
      </c>
      <c r="D837" s="2" t="inlineStr">
        <is>
          <t>Центральный Процессор Intel Core Ultra 5 245KF BOX (Arrow Lake, C14(8EC/6PC)/T14, 3,6/5,2GHz, Without Graphics, L2 26Mb, Cache 24Mb, TDP 125/159W, S1851)</t>
        </is>
      </c>
      <c r="E837" s="2">
        <v>58</v>
      </c>
      <c r="F837" s="2">
        <v>58</v>
      </c>
      <c r="H837" s="2">
        <v>394</v>
      </c>
      <c r="I837" s="2" t="inlineStr">
        <is>
          <t>$</t>
        </is>
      </c>
      <c r="J837" s="2">
        <f>HYPERLINK("https://app.astro.lead-studio.pro/product/a9bdadb8-ad73-4ff1-bb46-5a609de73042")</f>
      </c>
    </row>
    <row r="838" spans="1:10" customHeight="0">
      <c r="A838" s="2" t="inlineStr">
        <is>
          <t>Процессоры (CPU)</t>
        </is>
      </c>
      <c r="B838" s="2" t="inlineStr">
        <is>
          <t>Intel</t>
        </is>
      </c>
      <c r="C838" s="2" t="inlineStr">
        <is>
          <t>BX80768265K</t>
        </is>
      </c>
      <c r="D838" s="2" t="inlineStr">
        <is>
          <t>Центральный Процессор Intel Core Ultra 7 265K BOX (Arrow Lake, C20(12EC/8PC)/T20, 3,3/5,5GHz, GPU Intel Graphics, L2 36Mb, Cache 30Mb, TDP 125/250W, S1851)</t>
        </is>
      </c>
      <c r="E838" s="2">
        <v>67</v>
      </c>
      <c r="F838" s="2">
        <v>67</v>
      </c>
      <c r="H838" s="2">
        <v>544</v>
      </c>
      <c r="I838" s="2" t="inlineStr">
        <is>
          <t>$</t>
        </is>
      </c>
      <c r="J838" s="2">
        <f>HYPERLINK("https://app.astro.lead-studio.pro/product/8cf7c366-03d0-4dd8-adee-153d4157fcf9")</f>
      </c>
    </row>
    <row r="839" spans="1:10" customHeight="0">
      <c r="A839" s="2" t="inlineStr">
        <is>
          <t>Процессоры (CPU)</t>
        </is>
      </c>
      <c r="B839" s="2" t="inlineStr">
        <is>
          <t>Intel</t>
        </is>
      </c>
      <c r="C839" s="2" t="inlineStr">
        <is>
          <t>BX80768265KF</t>
        </is>
      </c>
      <c r="D839" s="2" t="inlineStr">
        <is>
          <t>Центральный Процессор Intel Core Ultra 7 265KF BOX (Arrow Lake, C20(12EC/8PC)/T20, 3,3/5,5GHz, Without Graphics, L2 36Mb, Cache 30Mb, TDP 125/250W, S1851)</t>
        </is>
      </c>
      <c r="E839" s="2">
        <v>42</v>
      </c>
      <c r="F839" s="2">
        <v>42</v>
      </c>
      <c r="H839" s="2">
        <v>540</v>
      </c>
      <c r="I839" s="2" t="inlineStr">
        <is>
          <t>$</t>
        </is>
      </c>
      <c r="J839" s="2">
        <f>HYPERLINK("https://app.astro.lead-studio.pro/product/f704e8d4-4b26-4581-b009-cb234f10d912")</f>
      </c>
    </row>
    <row r="840" spans="1:10" customHeight="0">
      <c r="A840" s="2" t="inlineStr">
        <is>
          <t>Системы охлаждения</t>
        </is>
      </c>
      <c r="B840" s="2" t="inlineStr">
        <is>
          <t>ASUS</t>
        </is>
      </c>
      <c r="C840" s="2" t="inlineStr">
        <is>
          <t>90RC00I1-M0UAY0</t>
        </is>
      </c>
      <c r="D840" s="2" t="inlineStr">
        <is>
          <t>Жидкостная система охлаждения ASUS ROG RYUO III 360 ARGB /AIO COOLER,ASETEK,EMMA,ARGB,AURA (90RC00I1-M0UAY0) /AIO COOLER,ASETEK,EMMA,ARGB,AURA (90RC00I1-M0UAY0)</t>
        </is>
      </c>
      <c r="E840" s="2">
        <v>37</v>
      </c>
      <c r="F840" s="2">
        <v>37</v>
      </c>
      <c r="H840" s="2">
        <v>379</v>
      </c>
      <c r="I840" s="2" t="inlineStr">
        <is>
          <t>$</t>
        </is>
      </c>
      <c r="J840" s="2">
        <f>HYPERLINK("https://app.astro.lead-studio.pro/product/0e4980cc-60fa-4dc9-a04f-ce7d7ed7ac81")</f>
      </c>
    </row>
    <row r="841" spans="1:10" customHeight="0">
      <c r="A841" s="2" t="inlineStr">
        <is>
          <t>Системы охлаждения</t>
        </is>
      </c>
      <c r="B841" s="2" t="inlineStr">
        <is>
          <t>ASUS</t>
        </is>
      </c>
      <c r="C841" s="2" t="inlineStr">
        <is>
          <t>90RC00I2-M0UAY0</t>
        </is>
      </c>
      <c r="D841" s="2" t="inlineStr">
        <is>
          <t>Жидкостная система охлаждения ASUS ROG RYUO III 360 ARGB WHT /AIO COOLER,ASETEK,EMMA,ARGB,AURA,WHT (90RC00I2-M0UAY0) /AIO COOLER,ASETEK,EMMA,ARGB,AURA,WHT (90RC00I2-M0UAY0)</t>
        </is>
      </c>
      <c r="E841" s="2">
        <v>13</v>
      </c>
      <c r="F841" s="2">
        <v>13</v>
      </c>
      <c r="H841" s="2">
        <v>359</v>
      </c>
      <c r="I841" s="2" t="inlineStr">
        <is>
          <t>$</t>
        </is>
      </c>
      <c r="J841" s="2">
        <f>HYPERLINK("https://app.astro.lead-studio.pro/product/a1c7c140-43e1-4a30-86cb-ac19c7e4a803")</f>
      </c>
    </row>
    <row r="842" spans="1:10" customHeight="0">
      <c r="A842" s="2" t="inlineStr">
        <is>
          <t>FC HBA адаптеры</t>
        </is>
      </c>
      <c r="B842" s="2" t="inlineStr">
        <is>
          <t>Lenovo</t>
        </is>
      </c>
      <c r="C842" s="2" t="inlineStr">
        <is>
          <t>01CV840</t>
        </is>
      </c>
      <c r="D842" s="2" t="inlineStr">
        <is>
          <t>HBA-адаптер Lenovo 01CV840 Lenovo Emulex Gen6 FC Dual-port 16Gb</t>
        </is>
      </c>
      <c r="E842" s="2">
        <v>9</v>
      </c>
      <c r="F842" s="2">
        <v>9</v>
      </c>
      <c r="H842" s="2">
        <v>955</v>
      </c>
      <c r="I842" s="2" t="inlineStr">
        <is>
          <t>$</t>
        </is>
      </c>
      <c r="J842" s="2">
        <f>HYPERLINK("https://app.astro.lead-studio.pro/product/8bfbd357-7b4d-4956-bf5c-345958fdc11d")</f>
      </c>
    </row>
    <row r="843" spans="1:10" customHeight="0">
      <c r="A843" s="2" t="inlineStr">
        <is>
          <t>FC HBA адаптеры</t>
        </is>
      </c>
      <c r="B843" s="2" t="inlineStr">
        <is>
          <t>Broadcom</t>
        </is>
      </c>
      <c r="C843" s="2" t="inlineStr">
        <is>
          <t>05-50111-01001 / 03-50111-01001</t>
        </is>
      </c>
      <c r="D843" s="2" t="inlineStr">
        <is>
          <t>HBA-адаптер Broadcom 9600-24i SGL (05-50111-01)  PCIe v4 x8 LP, Tri-Mode SAS/SATA/NVMe 24G HBA, 24port(3*int SFF8654), SAS4024 IOC, RTL</t>
        </is>
      </c>
      <c r="E843" s="2">
        <v>12</v>
      </c>
      <c r="F843" s="2">
        <v>12</v>
      </c>
      <c r="H843" s="2">
        <v>589</v>
      </c>
      <c r="I843" s="2" t="inlineStr">
        <is>
          <t>$</t>
        </is>
      </c>
      <c r="J843" s="2">
        <f>HYPERLINK("https://app.astro.lead-studio.pro/product/6450ce14-e493-4c40-b712-941e5822c60e")</f>
      </c>
    </row>
    <row r="844" spans="1:10" customHeight="0">
      <c r="A844" s="2" t="inlineStr">
        <is>
          <t>FC HBA адаптеры</t>
        </is>
      </c>
      <c r="B844" s="2" t="inlineStr">
        <is>
          <t>Lenovo</t>
        </is>
      </c>
      <c r="C844" s="2" t="inlineStr">
        <is>
          <t>4XC7A76525</t>
        </is>
      </c>
      <c r="D844" s="2" t="inlineStr">
        <is>
          <t>HBA-адаптер Lenovo 4XC7A76525 ThinkSystem Emulex LPe35002 32Gb 2-port PCIe Fibre Channel Adapter v2</t>
        </is>
      </c>
      <c r="E844" s="2">
        <v>4</v>
      </c>
      <c r="F844" s="2">
        <v>4</v>
      </c>
      <c r="H844" s="2">
        <v>1881</v>
      </c>
      <c r="I844" s="2" t="inlineStr">
        <is>
          <t>$</t>
        </is>
      </c>
      <c r="J844" s="2">
        <f>HYPERLINK("https://app.astro.lead-studio.pro/product/d7f4cf00-1a84-4cc6-97a8-4d6cff9b96d7")</f>
      </c>
    </row>
    <row r="845" spans="1:10" customHeight="0">
      <c r="A845" s="2" t="inlineStr">
        <is>
          <t>FC HBA адаптеры</t>
        </is>
      </c>
      <c r="B845" s="2" t="inlineStr">
        <is>
          <t>Broadcom</t>
        </is>
      </c>
      <c r="C845" s="2" t="inlineStr">
        <is>
          <t>H5-25460-00H / H3-25460-00H</t>
        </is>
      </c>
      <c r="D845" s="2" t="inlineStr">
        <is>
          <t>HBA-адаптер Broadcom 9300-8E SGL (LSI00343 / H5-25460-00 / H3-25460-00H)  PCIe 3.0 x8 LP, SAS/SATA 12G HBA, 8port(2*ext SFF8644), 3008 IOC RTL {5}</t>
        </is>
      </c>
      <c r="E845" s="2">
        <v>1</v>
      </c>
      <c r="F845" s="2">
        <v>1</v>
      </c>
      <c r="H845" s="2">
        <v>332</v>
      </c>
      <c r="I845" s="2" t="inlineStr">
        <is>
          <t>$</t>
        </is>
      </c>
      <c r="J845" s="2">
        <f>HYPERLINK("https://app.astro.lead-studio.pro/product/9b49d721-a8dc-4d3d-bea6-b427d931c8c5")</f>
      </c>
    </row>
    <row r="846" spans="1:10" customHeight="0">
      <c r="A846" s="2" t="inlineStr">
        <is>
          <t>FC HBA адаптеры</t>
        </is>
      </c>
      <c r="B846" s="2" t="inlineStr">
        <is>
          <t>Broadcom</t>
        </is>
      </c>
      <c r="C846" s="2" t="inlineStr">
        <is>
          <t>H5-25460-02I / H3-25460-02I</t>
        </is>
      </c>
      <c r="D846" s="2" t="inlineStr">
        <is>
          <t>HBA-адаптер Broadcom 9300-8E SGL (LSI00343 / H5-25460-00 / H5-25460-02I / H3-25460-02I) PCIe 3.0 x8 LP, SAS/SATA 12G HBA, 8port(2*ext SFF8644), 3008 IOC RTL {5}</t>
        </is>
      </c>
      <c r="E846" s="2">
        <v>1</v>
      </c>
      <c r="F846" s="2">
        <v>1</v>
      </c>
      <c r="H846" s="2">
        <v>330</v>
      </c>
      <c r="I846" s="2" t="inlineStr">
        <is>
          <t>$</t>
        </is>
      </c>
      <c r="J846" s="2">
        <f>HYPERLINK("https://app.astro.lead-studio.pro/product/7f251ac1-5c9f-4d4d-920f-e81e66ccb10b")</f>
      </c>
    </row>
    <row r="847" spans="1:10" customHeight="0">
      <c r="A847" s="2" t="inlineStr">
        <is>
          <t>FC HBA адаптеры</t>
        </is>
      </c>
      <c r="B847" s="2" t="inlineStr">
        <is>
          <t>HPE</t>
        </is>
      </c>
      <c r="C847" s="2" t="inlineStr">
        <is>
          <t>P9D94A</t>
        </is>
      </c>
      <c r="D847" s="2" t="inlineStr">
        <is>
          <t>HBA-адаптер HPE P9D94A SN1100Q 16Gb Dual Port Fibre Channel Host Bus Adapter</t>
        </is>
      </c>
      <c r="E847" s="2">
        <v>1</v>
      </c>
      <c r="F847" s="2">
        <v>1</v>
      </c>
      <c r="H847" s="2">
        <v>791</v>
      </c>
      <c r="I847" s="2" t="inlineStr">
        <is>
          <t>$</t>
        </is>
      </c>
      <c r="J847" s="2">
        <f>HYPERLINK("https://app.astro.lead-studio.pro/product/24c3c456-0091-496d-af10-a7b585a11be3")</f>
      </c>
    </row>
    <row r="848" spans="1:10" customHeight="0">
      <c r="A848" s="2" t="inlineStr">
        <is>
          <t>HDD для серверов и СХД</t>
        </is>
      </c>
      <c r="B848" s="2" t="inlineStr">
        <is>
          <t>Lenovo</t>
        </is>
      </c>
      <c r="C848" s="2" t="inlineStr">
        <is>
          <t>7XB7A00023</t>
        </is>
      </c>
      <c r="D848" s="2" t="inlineStr">
        <is>
          <t>Жесткий диск серверный Lenovo ThinkSystem 900GB 2.5" 15K SAS 12Gb Hot Swap 512e HDD</t>
        </is>
      </c>
      <c r="E848" s="2">
        <v>24</v>
      </c>
      <c r="F848" s="2">
        <v>24</v>
      </c>
      <c r="H848" s="2">
        <v>436</v>
      </c>
      <c r="I848" s="2" t="inlineStr">
        <is>
          <t>$</t>
        </is>
      </c>
      <c r="J848" s="2">
        <f>HYPERLINK("https://app.astro.lead-studio.pro/product/8aedd917-c91d-4deb-8ca6-5d1860134821")</f>
      </c>
    </row>
    <row r="849" spans="1:10" customHeight="0">
      <c r="A849" s="2" t="inlineStr">
        <is>
          <t>HDD для серверов и СХД</t>
        </is>
      </c>
      <c r="B849" s="2" t="inlineStr">
        <is>
          <t>HPE</t>
        </is>
      </c>
      <c r="C849" s="2" t="inlineStr">
        <is>
          <t>P28352-B21</t>
        </is>
      </c>
      <c r="D849" s="2" t="inlineStr">
        <is>
          <t>Жесткий диск серверный HPE 2.4TB SAS 12G Mission Critical 10K SFF BC 3-year Warranty 512e Multi Vendor HDD</t>
        </is>
      </c>
      <c r="E849" s="2">
        <v>1</v>
      </c>
      <c r="F849" s="2">
        <v>1</v>
      </c>
      <c r="H849" s="2">
        <v>397</v>
      </c>
      <c r="I849" s="2" t="inlineStr">
        <is>
          <t>$</t>
        </is>
      </c>
      <c r="J849" s="2">
        <f>HYPERLINK("https://app.astro.lead-studio.pro/product/bc60beec-751a-4b5a-a2da-36003123fd70")</f>
      </c>
    </row>
    <row r="850" spans="1:10" customHeight="0">
      <c r="A850" s="2" t="inlineStr">
        <is>
          <t>HDD для серверов и СХД</t>
        </is>
      </c>
      <c r="B850" s="2" t="inlineStr">
        <is>
          <t>HPE</t>
        </is>
      </c>
      <c r="C850" s="2" t="inlineStr">
        <is>
          <t>P53562-B21</t>
        </is>
      </c>
      <c r="D850" s="2" t="inlineStr">
        <is>
          <t>Жесткий диск серверный HPE 1.8TB SAS 12G Mission Critical 10K SFF BC 3-year Warranty 512e Multi Vendor HDD</t>
        </is>
      </c>
      <c r="E850" s="2">
        <v>10</v>
      </c>
      <c r="F850" s="2">
        <v>10</v>
      </c>
      <c r="H850" s="2">
        <v>425</v>
      </c>
      <c r="I850" s="2" t="inlineStr">
        <is>
          <t>$</t>
        </is>
      </c>
      <c r="J850" s="2">
        <f>HYPERLINK("https://app.astro.lead-studio.pro/product/5b141d13-a216-4ab7-8c74-442a07e1f644")</f>
      </c>
    </row>
    <row r="851" spans="1:10" customHeight="0">
      <c r="A851" s="2" t="inlineStr">
        <is>
          <t>HDD для серверов и СХД</t>
        </is>
      </c>
      <c r="B851" s="2" t="inlineStr">
        <is>
          <t>HPE</t>
        </is>
      </c>
      <c r="C851" s="2" t="inlineStr">
        <is>
          <t>R0Q55A</t>
        </is>
      </c>
      <c r="D851" s="2" t="inlineStr">
        <is>
          <t>Жесткий диск серверный HPE MSA 1.2TB SAS 12G Enterprise 10K SFF (2.5in) HDD, for MSA1060/2060/2062</t>
        </is>
      </c>
      <c r="E851" s="2">
        <v>9</v>
      </c>
      <c r="F851" s="2">
        <v>9</v>
      </c>
      <c r="H851" s="2">
        <v>380</v>
      </c>
      <c r="I851" s="2" t="inlineStr">
        <is>
          <t>$</t>
        </is>
      </c>
      <c r="J851" s="2">
        <f>HYPERLINK("https://app.astro.lead-studio.pro/product/9f2943c2-bd41-41af-8c31-bf56499a1730")</f>
      </c>
    </row>
    <row r="852" spans="1:10" customHeight="0">
      <c r="A852" s="2" t="inlineStr">
        <is>
          <t>HDD для серверов и СХД</t>
        </is>
      </c>
      <c r="B852" s="2" t="inlineStr">
        <is>
          <t>HPE</t>
        </is>
      </c>
      <c r="C852" s="2" t="inlineStr">
        <is>
          <t>R0Q56A</t>
        </is>
      </c>
      <c r="D852" s="2" t="inlineStr">
        <is>
          <t>Жесткий диск серверный HPE MSA 1.8TB SAS 12G Enterprise 10K SFF (2.5in) HDD, for MSA1060/2060/2062</t>
        </is>
      </c>
      <c r="E852" s="2">
        <v>1</v>
      </c>
      <c r="F852" s="2">
        <v>1</v>
      </c>
      <c r="H852" s="2">
        <v>557</v>
      </c>
      <c r="I852" s="2" t="inlineStr">
        <is>
          <t>$</t>
        </is>
      </c>
      <c r="J852" s="2">
        <f>HYPERLINK("https://app.astro.lead-studio.pro/product/f81c5e9e-0019-4cb0-96cd-c3269b25a0a8")</f>
      </c>
    </row>
    <row r="853" spans="1:10" customHeight="0">
      <c r="A853" s="2" t="inlineStr">
        <is>
          <t>HDD для серверов и СХД</t>
        </is>
      </c>
      <c r="B853" s="2" t="inlineStr">
        <is>
          <t>Western Digital</t>
        </is>
      </c>
      <c r="C853" s="2" t="inlineStr">
        <is>
          <t>HUH721212ALE600</t>
        </is>
      </c>
      <c r="D853" s="2" t="inlineStr">
        <is>
          <t>Жесткий диск серверный WD Ultrastar DC HC520 12TB 3.5"</t>
        </is>
      </c>
      <c r="E853" s="2">
        <v>6</v>
      </c>
      <c r="F853" s="2">
        <v>6</v>
      </c>
      <c r="H853" s="2">
        <v>348</v>
      </c>
      <c r="I853" s="2" t="inlineStr">
        <is>
          <t>$</t>
        </is>
      </c>
      <c r="J853" s="2">
        <f>HYPERLINK("https://app.astro.lead-studio.pro/product/2a9d7d39-afba-4983-9386-968be9e4f1e0")</f>
      </c>
    </row>
    <row r="854" spans="1:10" customHeight="0">
      <c r="A854" s="2" t="inlineStr">
        <is>
          <t>HDD для серверов и СХД</t>
        </is>
      </c>
      <c r="B854" s="2" t="inlineStr">
        <is>
          <t>Toshiba</t>
        </is>
      </c>
      <c r="C854" s="2" t="inlineStr">
        <is>
          <t>MG09ACA12TE</t>
        </is>
      </c>
      <c r="D854" s="2" t="inlineStr">
        <is>
          <t>Жесткий диск серверный 3.5" 12TB Toshiba Enterprise Capacity HDD MG09ACA12TE SATA 6Gb/s, 7200rpm, 512MB, 512e, Helium, </t>
        </is>
      </c>
      <c r="E854" s="2">
        <v>1</v>
      </c>
      <c r="F854" s="2">
        <v>1</v>
      </c>
      <c r="H854" s="2">
        <v>315</v>
      </c>
      <c r="I854" s="2" t="inlineStr">
        <is>
          <t>$</t>
        </is>
      </c>
      <c r="J854" s="2">
        <f>HYPERLINK("https://app.astro.lead-studio.pro/product/e2ca4cd1-ab16-4bdc-a9eb-6452de71c0de")</f>
      </c>
    </row>
    <row r="855" spans="1:10" customHeight="0">
      <c r="A855" s="2" t="inlineStr">
        <is>
          <t>HDD для серверов и СХД</t>
        </is>
      </c>
      <c r="B855" s="2" t="inlineStr">
        <is>
          <t>Toshiba</t>
        </is>
      </c>
      <c r="C855" s="2" t="inlineStr">
        <is>
          <t>MG09ACA18TE</t>
        </is>
      </c>
      <c r="D855" s="2" t="inlineStr">
        <is>
          <t>Жесткий диск серверный Toshiba Enterprise Capacity HDD MG09ACA18TE 18TB 3.5" SATA 6Gb/s, 7200rpm, 512MB, 512e, Helium, MG09ACA18TE Bulk (858697)</t>
        </is>
      </c>
      <c r="E855" s="2">
        <v>20</v>
      </c>
      <c r="F855" s="2">
        <v>20</v>
      </c>
      <c r="H855" s="2">
        <v>371</v>
      </c>
      <c r="I855" s="2" t="inlineStr">
        <is>
          <t>$</t>
        </is>
      </c>
      <c r="J855" s="2">
        <f>HYPERLINK("https://app.astro.lead-studio.pro/product/f787eb64-e57f-4a83-8a97-086c41bc1962")</f>
      </c>
    </row>
    <row r="856" spans="1:10" customHeight="0">
      <c r="A856" s="2" t="inlineStr">
        <is>
          <t>HDD для серверов и СХД</t>
        </is>
      </c>
      <c r="B856" s="2" t="inlineStr">
        <is>
          <t>Toshiba</t>
        </is>
      </c>
      <c r="C856" s="2" t="inlineStr">
        <is>
          <t>MG09SCA18TE</t>
        </is>
      </c>
      <c r="D856" s="2" t="inlineStr">
        <is>
          <t>Жесткий диск серверный Toshiba Enterprise Capacity MG09SCA18TE 18TB 3.5" SAS 12Gb/s, 7200rpm, 512MB, Bulk {20}</t>
        </is>
      </c>
      <c r="E856" s="2">
        <v>20</v>
      </c>
      <c r="F856" s="2">
        <v>20</v>
      </c>
      <c r="H856" s="2">
        <v>447</v>
      </c>
      <c r="I856" s="2" t="inlineStr">
        <is>
          <t>$</t>
        </is>
      </c>
      <c r="J856" s="2">
        <f>HYPERLINK("https://app.astro.lead-studio.pro/product/36f22079-d24a-4882-8331-436137183868")</f>
      </c>
    </row>
    <row r="857" spans="1:10" customHeight="0">
      <c r="A857" s="2" t="inlineStr">
        <is>
          <t>HDD для серверов и СХД</t>
        </is>
      </c>
      <c r="B857" s="2" t="inlineStr">
        <is>
          <t>HPE</t>
        </is>
      </c>
      <c r="C857" s="2" t="inlineStr">
        <is>
          <t>R0Q59A</t>
        </is>
      </c>
      <c r="D857" s="2" t="inlineStr">
        <is>
          <t>Жесткий диск серверный HPE MSA 8TB SAS 12G Midline 7.2K LFF (3.5in) M2 1yr Wty HDD, R0Q59A for MSA1060/2060/2062</t>
        </is>
      </c>
      <c r="E857" s="2">
        <v>1</v>
      </c>
      <c r="F857" s="2">
        <v>1</v>
      </c>
      <c r="H857" s="2">
        <v>520</v>
      </c>
      <c r="I857" s="2" t="inlineStr">
        <is>
          <t>$</t>
        </is>
      </c>
      <c r="J857" s="2">
        <f>HYPERLINK("https://app.astro.lead-studio.pro/product/6e67dc4a-cd25-4959-9879-2f3be83e4a15")</f>
      </c>
    </row>
    <row r="858" spans="1:10" customHeight="0">
      <c r="A858" s="2" t="inlineStr">
        <is>
          <t>HDD для серверов и СХД</t>
        </is>
      </c>
      <c r="B858" s="2" t="inlineStr">
        <is>
          <t>HPE</t>
        </is>
      </c>
      <c r="C858" s="2" t="inlineStr">
        <is>
          <t>R0Q61A</t>
        </is>
      </c>
      <c r="D858" s="2" t="inlineStr">
        <is>
          <t>Жесткий диск серверный HPE MSA 12TB SAS 12G Midline 7.2K LFF (3.5in) M2 1yr Wty HDD, R0Q61A for MSA1060/2060/2062</t>
        </is>
      </c>
      <c r="E858" s="2">
        <v>8</v>
      </c>
      <c r="F858" s="2">
        <v>8</v>
      </c>
      <c r="H858" s="2">
        <v>769</v>
      </c>
      <c r="I858" s="2" t="inlineStr">
        <is>
          <t>$</t>
        </is>
      </c>
      <c r="J858" s="2">
        <f>HYPERLINK("https://app.astro.lead-studio.pro/product/1c847465-52c0-48af-9372-f994fc179cab")</f>
      </c>
    </row>
    <row r="859" spans="1:10" customHeight="0">
      <c r="A859" s="2" t="inlineStr">
        <is>
          <t>HDD для серверов и СХД</t>
        </is>
      </c>
      <c r="B859" s="2" t="inlineStr">
        <is>
          <t>HPE</t>
        </is>
      </c>
      <c r="C859" s="2" t="inlineStr">
        <is>
          <t>R0Q62A</t>
        </is>
      </c>
      <c r="D859" s="2" t="inlineStr">
        <is>
          <t>Жесткий диск серверный HPE MSA 14TB SAS 12G Midline 7.2K LFF (3.5in) M2 1yr Wty HDD, R0Q62A for MSA1060/2060/2062</t>
        </is>
      </c>
      <c r="E859" s="2">
        <v>10</v>
      </c>
      <c r="F859" s="2">
        <v>10</v>
      </c>
      <c r="H859" s="2">
        <v>1256</v>
      </c>
      <c r="I859" s="2" t="inlineStr">
        <is>
          <t>$</t>
        </is>
      </c>
      <c r="J859" s="2">
        <f>HYPERLINK("https://app.astro.lead-studio.pro/product/2307dff7-3504-43b6-bd36-8789cfbef4cc")</f>
      </c>
    </row>
    <row r="860" spans="1:10" customHeight="0">
      <c r="A860" s="2" t="inlineStr">
        <is>
          <t>HDD для серверов и СХД</t>
        </is>
      </c>
      <c r="B860" s="2" t="inlineStr">
        <is>
          <t>HPE</t>
        </is>
      </c>
      <c r="C860" s="2" t="inlineStr">
        <is>
          <t>R3U72A</t>
        </is>
      </c>
      <c r="D860" s="2" t="inlineStr">
        <is>
          <t>Жесткий диск серверный HPE MSA 16TB 3.3" SAS 12G Midline 7.2K LFF M2 1yr Wty HDD, R3U72A for MSA1060/2060/2062</t>
        </is>
      </c>
      <c r="E860" s="2">
        <v>10</v>
      </c>
      <c r="F860" s="2">
        <v>10</v>
      </c>
      <c r="H860" s="2">
        <v>1490</v>
      </c>
      <c r="I860" s="2" t="inlineStr">
        <is>
          <t>$</t>
        </is>
      </c>
      <c r="J860" s="2">
        <f>HYPERLINK("https://app.astro.lead-studio.pro/product/5a9a0c6a-e2f2-49ee-be6b-b43195ebcb32")</f>
      </c>
    </row>
    <row r="861" spans="1:10" customHeight="0">
      <c r="A861" s="2" t="inlineStr">
        <is>
          <t>HDD для серверов и СХД</t>
        </is>
      </c>
      <c r="B861" s="2" t="inlineStr">
        <is>
          <t>Seagate</t>
        </is>
      </c>
      <c r="C861" s="2" t="inlineStr">
        <is>
          <t>ST12000NM001G</t>
        </is>
      </c>
      <c r="D861" s="2" t="inlineStr">
        <is>
          <t>Жесткий диск Seagate Exos X16 ST12000NM001G 12TB 3.5" SATA 6Gb/s, 7200rpm, 256MB, 512e/4Kn, Bulk</t>
        </is>
      </c>
      <c r="E861" s="2">
        <v>1</v>
      </c>
      <c r="F861" s="2">
        <v>1</v>
      </c>
      <c r="H861" s="2">
        <v>327</v>
      </c>
      <c r="I861" s="2" t="inlineStr">
        <is>
          <t>$</t>
        </is>
      </c>
      <c r="J861" s="2">
        <f>HYPERLINK("https://app.astro.lead-studio.pro/product/6de0670f-767d-4bc6-91ea-002b046b741b")</f>
      </c>
    </row>
    <row r="862" spans="1:10" customHeight="0">
      <c r="A862" s="2" t="inlineStr">
        <is>
          <t>HDD для серверов и СХД</t>
        </is>
      </c>
      <c r="B862" s="2" t="inlineStr">
        <is>
          <t>Seagate</t>
        </is>
      </c>
      <c r="C862" s="2" t="inlineStr">
        <is>
          <t>ST12000NM004J</t>
        </is>
      </c>
      <c r="D862" s="2" t="inlineStr">
        <is>
          <t>Жесткий диск серверный Seagate Exos X18 ST12000NM004J 12TB 3.5" SAS 12Gb/s, 7200rpm, 256MB, 512e/4Kn, Bulk (020398)</t>
        </is>
      </c>
      <c r="E862" s="2">
        <v>5</v>
      </c>
      <c r="F862" s="2">
        <v>5</v>
      </c>
      <c r="H862" s="2">
        <v>361</v>
      </c>
      <c r="I862" s="2" t="inlineStr">
        <is>
          <t>$</t>
        </is>
      </c>
      <c r="J862" s="2">
        <f>HYPERLINK("https://app.astro.lead-studio.pro/product/0330e233-1bfd-4cbc-aead-2bd8d9375a6c")</f>
      </c>
    </row>
    <row r="863" spans="1:10" customHeight="0">
      <c r="A863" s="2" t="inlineStr">
        <is>
          <t>HDD для серверов и СХД</t>
        </is>
      </c>
      <c r="B863" s="2" t="inlineStr">
        <is>
          <t>Seagate</t>
        </is>
      </c>
      <c r="C863" s="2" t="inlineStr">
        <is>
          <t>ST16000NM004J</t>
        </is>
      </c>
      <c r="D863" s="2" t="inlineStr">
        <is>
          <t>Жесткий диск серверный Seagate Exos X18 ST16000NM004J 16TB 3.5" SAS 12Gb/s, 7200rpm, 256MB, 512E/4kn (020572)</t>
        </is>
      </c>
      <c r="E863" s="2">
        <v>6</v>
      </c>
      <c r="F863" s="2">
        <v>6</v>
      </c>
      <c r="H863" s="2">
        <v>386</v>
      </c>
      <c r="I863" s="2" t="inlineStr">
        <is>
          <t>$</t>
        </is>
      </c>
      <c r="J863" s="2">
        <f>HYPERLINK("https://app.astro.lead-studio.pro/product/76bd0f38-9d35-4c91-b422-12e4c7ec2fec")</f>
      </c>
    </row>
    <row r="864" spans="1:10" customHeight="0">
      <c r="A864" s="2" t="inlineStr">
        <is>
          <t>HDD для серверов и СХД</t>
        </is>
      </c>
      <c r="B864" s="2" t="inlineStr">
        <is>
          <t>Seagate</t>
        </is>
      </c>
      <c r="C864" s="2" t="inlineStr">
        <is>
          <t>ST22000NM000E</t>
        </is>
      </c>
      <c r="D864" s="2" t="inlineStr">
        <is>
          <t>Жесткий диск серверный Seagate Exos X22 22TB 3.5" SAS 12GB/S RPM 512MB</t>
        </is>
      </c>
      <c r="E864" s="2">
        <v>4</v>
      </c>
      <c r="F864" s="2">
        <v>4</v>
      </c>
      <c r="H864" s="2">
        <v>568</v>
      </c>
      <c r="I864" s="2" t="inlineStr">
        <is>
          <t>$</t>
        </is>
      </c>
      <c r="J864" s="2">
        <f>HYPERLINK("https://app.astro.lead-studio.pro/product/864c04a3-1188-481f-97ab-e269d80f2d5b")</f>
      </c>
    </row>
    <row r="865" spans="1:10" customHeight="0">
      <c r="A865" s="2" t="inlineStr">
        <is>
          <t>HDD для серверов и СХД</t>
        </is>
      </c>
      <c r="B865" s="2" t="inlineStr">
        <is>
          <t>Western Digital</t>
        </is>
      </c>
      <c r="C865" s="2" t="inlineStr">
        <is>
          <t>WUH721818AL5204</t>
        </is>
      </c>
      <c r="D865" s="2" t="inlineStr">
        <is>
          <t>Жесткий диск серверный WD Ultrastar DC HC550 WUH721818AL5204 18TB 3.5" SAS 12Gb/s, 7200rpm, 512MB, 0F38353, 512e, Bulk {20}</t>
        </is>
      </c>
      <c r="E865" s="2">
        <v>20</v>
      </c>
      <c r="F865" s="2">
        <v>20</v>
      </c>
      <c r="H865" s="2">
        <v>470</v>
      </c>
      <c r="I865" s="2" t="inlineStr">
        <is>
          <t>$</t>
        </is>
      </c>
      <c r="J865" s="2">
        <f>HYPERLINK("https://app.astro.lead-studio.pro/product/980884b7-7df7-4ac8-85ef-40555a187f58")</f>
      </c>
    </row>
    <row r="866" spans="1:10" customHeight="0">
      <c r="A866" s="2" t="inlineStr">
        <is>
          <t>HDD для серверов и СХД</t>
        </is>
      </c>
      <c r="B866" s="2" t="inlineStr">
        <is>
          <t>Western Digital</t>
        </is>
      </c>
      <c r="C866" s="2" t="inlineStr">
        <is>
          <t>WUH722020BL5204</t>
        </is>
      </c>
      <c r="D866" s="2" t="inlineStr">
        <is>
          <t>Жесткий диск серверный Western Digital Ultrastar DC HC560 20TB 3.5" WUH722020BL5204 SAS 12Gb/s, 7200rpm, 512MB, 0F38652, 512e/4Kn</t>
        </is>
      </c>
      <c r="E866" s="2">
        <v>64</v>
      </c>
      <c r="F866" s="2">
        <v>64</v>
      </c>
      <c r="H866" s="2">
        <v>507</v>
      </c>
      <c r="I866" s="2" t="inlineStr">
        <is>
          <t>$</t>
        </is>
      </c>
      <c r="J866" s="2">
        <f>HYPERLINK("https://app.astro.lead-studio.pro/product/dffe9aa0-c71b-41c8-958e-cd61c6626085")</f>
      </c>
    </row>
    <row r="867" spans="1:10" customHeight="0">
      <c r="A867" s="2" t="inlineStr">
        <is>
          <t>SSD для серверов и СХД</t>
        </is>
      </c>
      <c r="B867" s="2" t="inlineStr">
        <is>
          <t>Samsung</t>
        </is>
      </c>
      <c r="C867" s="2" t="inlineStr">
        <is>
          <t>MZ1L21T9HCLS-00A07</t>
        </is>
      </c>
      <c r="D867" s="2" t="inlineStr">
        <is>
          <t>Твердотельный накопитель SSD Samsung Enterprise PM9A3 MZ1L21T9HCLS-00A07 M.2 22110, 1920GB, 5500/2000 MB/s, 800k/85k IOPS, NVME Gen 4, 1.3DWPD (3Y)</t>
        </is>
      </c>
      <c r="E867" s="2">
        <v>20</v>
      </c>
      <c r="F867" s="2">
        <v>20</v>
      </c>
      <c r="H867" s="2">
        <v>458</v>
      </c>
      <c r="I867" s="2" t="inlineStr">
        <is>
          <t>$</t>
        </is>
      </c>
      <c r="J867" s="2">
        <f>HYPERLINK("https://app.astro.lead-studio.pro/product/adde65b4-224a-4243-b5c1-30714ae55d1e")</f>
      </c>
    </row>
    <row r="868" spans="1:10" customHeight="0">
      <c r="A868" s="2" t="inlineStr">
        <is>
          <t>SSD для серверов и СХД</t>
        </is>
      </c>
      <c r="B868" s="2" t="inlineStr">
        <is>
          <t>Samsung</t>
        </is>
      </c>
      <c r="C868" s="2" t="inlineStr">
        <is>
          <t>MZ1L23T8HBLA-00A07</t>
        </is>
      </c>
      <c r="D868" s="2" t="inlineStr">
        <is>
          <t>Твердотельный накопитель SSD Samsung Enterprise PM9A3 MZ1L23T8HBLA-00A07 M.2 22110, 3840GB, 5500/2000 MB/s, 800k/85k IOPS, NVME Gen 4, 1.3DWPD (3Y)</t>
        </is>
      </c>
      <c r="E868" s="2">
        <v>15</v>
      </c>
      <c r="F868" s="2">
        <v>15</v>
      </c>
      <c r="H868" s="2">
        <v>681</v>
      </c>
      <c r="I868" s="2" t="inlineStr">
        <is>
          <t>$</t>
        </is>
      </c>
      <c r="J868" s="2">
        <f>HYPERLINK("https://app.astro.lead-studio.pro/product/625e5d6b-55a3-4a5b-93cd-3a578e1cf89a")</f>
      </c>
    </row>
    <row r="869" spans="1:10" customHeight="0">
      <c r="A869" s="2" t="inlineStr">
        <is>
          <t>SSD для серверов и СХД</t>
        </is>
      </c>
      <c r="B869" s="2" t="inlineStr">
        <is>
          <t>HPE</t>
        </is>
      </c>
      <c r="C869" s="2" t="inlineStr">
        <is>
          <t>R0Q49A</t>
        </is>
      </c>
      <c r="D869" s="2" t="inlineStr">
        <is>
          <t>Жесткий диск серверный HPE MSA 1.92TB SAS 12G Read Intensive LFF (3.5in) M2 SSD, for MSA1060/2060/2062</t>
        </is>
      </c>
      <c r="E869" s="2">
        <v>5</v>
      </c>
      <c r="F869" s="2">
        <v>5</v>
      </c>
      <c r="H869" s="2">
        <v>1215</v>
      </c>
      <c r="I869" s="2" t="inlineStr">
        <is>
          <t>$</t>
        </is>
      </c>
      <c r="J869" s="2">
        <f>HYPERLINK("https://app.astro.lead-studio.pro/product/992e90d4-39f0-4a20-9c26-15fd43457729")</f>
      </c>
    </row>
    <row r="870" spans="1:10" customHeight="0">
      <c r="A870" s="2" t="inlineStr">
        <is>
          <t>SSD для серверов и СХД</t>
        </is>
      </c>
      <c r="B870" s="2" t="inlineStr">
        <is>
          <t>Lenovo</t>
        </is>
      </c>
      <c r="C870" s="2" t="inlineStr">
        <is>
          <t>4XB7A10197</t>
        </is>
      </c>
      <c r="D870" s="2" t="inlineStr">
        <is>
          <t>Твердотельный накопитель SSD Lenovo 4XB7A10197 ThinkSystem PM883 2.5"  960GB Entry SATA 6Gb Hot Swap SSD</t>
        </is>
      </c>
      <c r="E870" s="2">
        <v>5</v>
      </c>
      <c r="F870" s="2">
        <v>5</v>
      </c>
      <c r="H870" s="2">
        <v>496</v>
      </c>
      <c r="I870" s="2" t="inlineStr">
        <is>
          <t>$</t>
        </is>
      </c>
      <c r="J870" s="2">
        <f>HYPERLINK("https://app.astro.lead-studio.pro/product/875dc4e8-d7f6-4449-9314-fbf0a3fd75cd")</f>
      </c>
    </row>
    <row r="871" spans="1:10" customHeight="0">
      <c r="A871" s="2" t="inlineStr">
        <is>
          <t>SSD для серверов и СХД</t>
        </is>
      </c>
      <c r="B871" s="2" t="inlineStr">
        <is>
          <t>Lenovo</t>
        </is>
      </c>
      <c r="C871" s="2" t="inlineStr">
        <is>
          <t>4XB7A17063</t>
        </is>
      </c>
      <c r="D871" s="2" t="inlineStr">
        <is>
          <t>Твердотельный накопитель SSD Lenovo 4XB7A17063 ThinkSystem PM1645a 2.5" 1.6TB Mainstream SAS 12Gb Hot Swap </t>
        </is>
      </c>
      <c r="E871" s="2">
        <v>11</v>
      </c>
      <c r="F871" s="2">
        <v>11</v>
      </c>
      <c r="H871" s="2">
        <v>1025</v>
      </c>
      <c r="I871" s="2" t="inlineStr">
        <is>
          <t>$</t>
        </is>
      </c>
      <c r="J871" s="2">
        <f>HYPERLINK("https://app.astro.lead-studio.pro/product/81dff518-632e-451e-a73d-e85b165d49f0")</f>
      </c>
    </row>
    <row r="872" spans="1:10" customHeight="0">
      <c r="A872" s="2" t="inlineStr">
        <is>
          <t>SSD для серверов и СХД</t>
        </is>
      </c>
      <c r="B872" s="2" t="inlineStr">
        <is>
          <t>Lenovo</t>
        </is>
      </c>
      <c r="C872" s="2" t="inlineStr">
        <is>
          <t>4XB7A17077</t>
        </is>
      </c>
      <c r="D872" s="2" t="inlineStr">
        <is>
          <t>Твердотельный накопитель SSD Lenovo 4XB7A17077 ThinkSystem 5300 2.5" 960GB Entry SATA 6Gb Hot Swap </t>
        </is>
      </c>
      <c r="E872" s="2">
        <v>3</v>
      </c>
      <c r="F872" s="2">
        <v>3</v>
      </c>
      <c r="H872" s="2">
        <v>436</v>
      </c>
      <c r="I872" s="2" t="inlineStr">
        <is>
          <t>$</t>
        </is>
      </c>
      <c r="J872" s="2">
        <f>HYPERLINK("https://app.astro.lead-studio.pro/product/657335e0-5325-434d-acf1-a4c7427591e1")</f>
      </c>
    </row>
    <row r="873" spans="1:10" customHeight="0">
      <c r="A873" s="2" t="inlineStr">
        <is>
          <t>SSD для серверов и СХД</t>
        </is>
      </c>
      <c r="B873" s="2" t="inlineStr">
        <is>
          <t>Lenovo</t>
        </is>
      </c>
      <c r="C873" s="2" t="inlineStr">
        <is>
          <t>4XB7A38275</t>
        </is>
      </c>
      <c r="D873" s="2" t="inlineStr">
        <is>
          <t>Твердотельный накопитель SSD Lenovo 4XB7A38275 ThinkSystem 3.84TB 2.5" Multi Vendor Entry SATA 6Gb Hot Swap </t>
        </is>
      </c>
      <c r="E873" s="2">
        <v>9</v>
      </c>
      <c r="F873" s="2">
        <v>9</v>
      </c>
      <c r="H873" s="2">
        <v>1239</v>
      </c>
      <c r="I873" s="2" t="inlineStr">
        <is>
          <t>$</t>
        </is>
      </c>
      <c r="J873" s="2">
        <f>HYPERLINK("https://app.astro.lead-studio.pro/product/2fb665d5-7eaf-4dba-9672-f9685ec267b5")</f>
      </c>
    </row>
    <row r="874" spans="1:10" customHeight="0">
      <c r="A874" s="2" t="inlineStr">
        <is>
          <t>SSD для серверов и СХД</t>
        </is>
      </c>
      <c r="B874" s="2" t="inlineStr">
        <is>
          <t>Lenovo</t>
        </is>
      </c>
      <c r="C874" s="2" t="inlineStr">
        <is>
          <t>4XB7A72440</t>
        </is>
      </c>
      <c r="D874" s="2" t="inlineStr">
        <is>
          <t>Твердотельный накопитель SSD Lenovo 4XB7A72440 ThinkSystem 2.5" PM893 1.92TB Read Intensive SATA 6Gb HS SSD</t>
        </is>
      </c>
      <c r="E874" s="2">
        <v>2</v>
      </c>
      <c r="F874" s="2">
        <v>2</v>
      </c>
      <c r="H874" s="2">
        <v>617</v>
      </c>
      <c r="I874" s="2" t="inlineStr">
        <is>
          <t>$</t>
        </is>
      </c>
      <c r="J874" s="2">
        <f>HYPERLINK("https://app.astro.lead-studio.pro/product/e2ae1242-c4ca-4210-9652-b8ac71e067d0")</f>
      </c>
    </row>
    <row r="875" spans="1:10" customHeight="0">
      <c r="A875" s="2" t="inlineStr">
        <is>
          <t>SSD для серверов и СХД</t>
        </is>
      </c>
      <c r="B875" s="2" t="inlineStr">
        <is>
          <t>Lenovo</t>
        </is>
      </c>
      <c r="C875" s="2" t="inlineStr">
        <is>
          <t>4XB7A80340</t>
        </is>
      </c>
      <c r="D875" s="2" t="inlineStr">
        <is>
          <t>Твердотельный накопитель SSD Lenovo 4XB7A80340 ThinkSystem PM1655 800GB  2.5" Mixed Use SAS 24Gb HS </t>
        </is>
      </c>
      <c r="E875" s="2">
        <v>8</v>
      </c>
      <c r="F875" s="2">
        <v>8</v>
      </c>
      <c r="H875" s="2">
        <v>604</v>
      </c>
      <c r="I875" s="2" t="inlineStr">
        <is>
          <t>$</t>
        </is>
      </c>
      <c r="J875" s="2">
        <f>HYPERLINK("https://app.astro.lead-studio.pro/product/db58f17e-7397-4bf2-a953-088216406fa4")</f>
      </c>
    </row>
    <row r="876" spans="1:10" customHeight="0">
      <c r="A876" s="2" t="inlineStr">
        <is>
          <t>SSD для серверов и СХД</t>
        </is>
      </c>
      <c r="B876" s="2" t="inlineStr">
        <is>
          <t>Lenovo</t>
        </is>
      </c>
      <c r="C876" s="2" t="inlineStr">
        <is>
          <t>4XB7A80341</t>
        </is>
      </c>
      <c r="D876" s="2" t="inlineStr">
        <is>
          <t>Твердотельный накопитель SSD Lenovo 4XB7A80341 ThinkSystem PM1655 1.6TB 2.5” Mixed Use SAS 24Gb HS </t>
        </is>
      </c>
      <c r="E876" s="2">
        <v>23</v>
      </c>
      <c r="F876" s="2">
        <v>23</v>
      </c>
      <c r="H876" s="2">
        <v>943</v>
      </c>
      <c r="I876" s="2" t="inlineStr">
        <is>
          <t>$</t>
        </is>
      </c>
      <c r="J876" s="2">
        <f>HYPERLINK("https://app.astro.lead-studio.pro/product/97c7d9fc-7d54-4df8-8450-542ab70e22b1")</f>
      </c>
    </row>
    <row r="877" spans="1:10" customHeight="0">
      <c r="A877" s="2" t="inlineStr">
        <is>
          <t>SSD для серверов и СХД</t>
        </is>
      </c>
      <c r="B877" s="2" t="inlineStr">
        <is>
          <t>Lenovo</t>
        </is>
      </c>
      <c r="C877" s="2" t="inlineStr">
        <is>
          <t>4XB7A82260</t>
        </is>
      </c>
      <c r="D877" s="2" t="inlineStr">
        <is>
          <t>Твердотельный накопитель SSD Lenovo 4XB7A82260 ThinkSystem 2.5" 5400 RO 960GB Read intensive SATA 6Gb HS SSD</t>
        </is>
      </c>
      <c r="E877" s="2">
        <v>9</v>
      </c>
      <c r="F877" s="2">
        <v>9</v>
      </c>
      <c r="H877" s="2">
        <v>373</v>
      </c>
      <c r="I877" s="2" t="inlineStr">
        <is>
          <t>$</t>
        </is>
      </c>
      <c r="J877" s="2">
        <f>HYPERLINK("https://app.astro.lead-studio.pro/product/c831ffea-71df-4095-91ea-613d55383210")</f>
      </c>
    </row>
    <row r="878" spans="1:10" customHeight="0">
      <c r="A878" s="2" t="inlineStr">
        <is>
          <t>SSD для серверов и СХД</t>
        </is>
      </c>
      <c r="B878" s="2" t="inlineStr">
        <is>
          <t>Lenovo</t>
        </is>
      </c>
      <c r="C878" s="2" t="inlineStr">
        <is>
          <t>4XB7A82261</t>
        </is>
      </c>
      <c r="D878" s="2" t="inlineStr">
        <is>
          <t>Твердотельный накопитель SSD Lenovo 4XB7A82261 ThinkSystem 2.5" 5400 PRO 1.92TB Read Intensive SATA 6Gb HS SSD</t>
        </is>
      </c>
      <c r="E878" s="2">
        <v>11</v>
      </c>
      <c r="F878" s="2">
        <v>11</v>
      </c>
      <c r="H878" s="2">
        <v>656</v>
      </c>
      <c r="I878" s="2" t="inlineStr">
        <is>
          <t>$</t>
        </is>
      </c>
      <c r="J878" s="2">
        <f>HYPERLINK("https://app.astro.lead-studio.pro/product/825c5c5a-a1fd-41f3-80f1-0fff22acf935")</f>
      </c>
    </row>
    <row r="879" spans="1:10" customHeight="0">
      <c r="A879" s="2" t="inlineStr">
        <is>
          <t>SSD для серверов и СХД</t>
        </is>
      </c>
      <c r="B879" s="2" t="inlineStr">
        <is>
          <t>Lenovo</t>
        </is>
      </c>
      <c r="C879" s="2" t="inlineStr">
        <is>
          <t>4XB7A87526</t>
        </is>
      </c>
      <c r="D879" s="2" t="inlineStr">
        <is>
          <t>Твердотельный накопитель SSD Lenovo 4XB7A87526 ThinkSystem 2.5" PM893a 1.92TB Read Intensive SATA 6Gb HS SSD</t>
        </is>
      </c>
      <c r="E879" s="2">
        <v>14</v>
      </c>
      <c r="F879" s="2">
        <v>14</v>
      </c>
      <c r="H879" s="2">
        <v>609</v>
      </c>
      <c r="I879" s="2" t="inlineStr">
        <is>
          <t>$</t>
        </is>
      </c>
      <c r="J879" s="2">
        <f>HYPERLINK("https://app.astro.lead-studio.pro/product/66f691d1-23b0-48ca-a902-c7406647ee08")</f>
      </c>
    </row>
    <row r="880" spans="1:10" customHeight="0">
      <c r="A880" s="2" t="inlineStr">
        <is>
          <t>SSD для серверов и СХД</t>
        </is>
      </c>
      <c r="B880" s="2" t="inlineStr">
        <is>
          <t>KIOXIA</t>
        </is>
      </c>
      <c r="C880" s="2" t="inlineStr">
        <is>
          <t>KPM7VVUG3T20</t>
        </is>
      </c>
      <c r="D880" s="2" t="inlineStr">
        <is>
          <t>Твердотельный накопитель KIOXIA 2.5" 3200GB РM7-V KPM7VVUG3T20 </t>
        </is>
      </c>
      <c r="E880" s="2">
        <v>25</v>
      </c>
      <c r="F880" s="2">
        <v>25</v>
      </c>
      <c r="H880" s="2">
        <v>1227</v>
      </c>
      <c r="I880" s="2" t="inlineStr">
        <is>
          <t>$</t>
        </is>
      </c>
      <c r="J880" s="2">
        <f>HYPERLINK("https://app.astro.lead-studio.pro/product/c02cdcd1-b87d-434c-9f4c-c4b1406085f1")</f>
      </c>
    </row>
    <row r="881" spans="1:10" customHeight="0">
      <c r="A881" s="2" t="inlineStr">
        <is>
          <t>SSD для серверов и СХД</t>
        </is>
      </c>
      <c r="B881" s="2" t="inlineStr">
        <is>
          <t>KIOXIA</t>
        </is>
      </c>
      <c r="C881" s="2" t="inlineStr">
        <is>
          <t>KPM7VVUG6T40</t>
        </is>
      </c>
      <c r="D881" s="2" t="inlineStr">
        <is>
          <t>Твердотельный накопитель SSD KIOXIA KPM7VVUG6T40 2.5" 6400GB SAS  </t>
        </is>
      </c>
      <c r="E881" s="2">
        <v>10</v>
      </c>
      <c r="F881" s="2">
        <v>10</v>
      </c>
      <c r="H881" s="2">
        <v>1957</v>
      </c>
      <c r="I881" s="2" t="inlineStr">
        <is>
          <t>$</t>
        </is>
      </c>
      <c r="J881" s="2">
        <f>HYPERLINK("https://app.astro.lead-studio.pro/product/db8670c8-7dd4-443e-a18f-388828ad8c8c")</f>
      </c>
    </row>
    <row r="882" spans="1:10" customHeight="0">
      <c r="A882" s="2" t="inlineStr">
        <is>
          <t>SSD для серверов и СХД</t>
        </is>
      </c>
      <c r="B882" s="2" t="inlineStr">
        <is>
          <t>Samsung</t>
        </is>
      </c>
      <c r="C882" s="2" t="inlineStr">
        <is>
          <t>MZ7L31T9HBNA-00A07</t>
        </is>
      </c>
      <c r="D882" s="2" t="inlineStr">
        <is>
          <t>Твердотельный накопитель SSD Samsung Enterprise PM897 MZ7L31T9HBNA-00A07 1920GB 2.5", 560/530 MB/s, 97k/60k IOPS, SATA 6Гб/с, 3DWPD (5Y) OEM</t>
        </is>
      </c>
      <c r="E882" s="2">
        <v>16</v>
      </c>
      <c r="F882" s="2">
        <v>16</v>
      </c>
      <c r="H882" s="2">
        <v>528</v>
      </c>
      <c r="I882" s="2" t="inlineStr">
        <is>
          <t>$</t>
        </is>
      </c>
      <c r="J882" s="2">
        <f>HYPERLINK("https://app.astro.lead-studio.pro/product/1bfc7be2-9afd-4bcf-a8b3-e360144122a4")</f>
      </c>
    </row>
    <row r="883" spans="1:10" customHeight="0">
      <c r="A883" s="2" t="inlineStr">
        <is>
          <t>SSD для серверов и СХД</t>
        </is>
      </c>
      <c r="B883" s="2" t="inlineStr">
        <is>
          <t>Samsung</t>
        </is>
      </c>
      <c r="C883" s="2" t="inlineStr">
        <is>
          <t>MZ7L33T8HBLT-00A07</t>
        </is>
      </c>
      <c r="D883" s="2" t="inlineStr">
        <is>
          <t>Твердотельный накопитель SSD Samsung Enterprise PM893 MZ7L33T8HBLT-00A07 3840GB 2.5", 550/520 MB/s, 98k/30k IOPS, SATA 6 Гб/с, 1DWPD (5Y)</t>
        </is>
      </c>
      <c r="E883" s="2">
        <v>20</v>
      </c>
      <c r="F883" s="2">
        <v>20</v>
      </c>
      <c r="H883" s="2">
        <v>657</v>
      </c>
      <c r="I883" s="2" t="inlineStr">
        <is>
          <t>$</t>
        </is>
      </c>
      <c r="J883" s="2">
        <f>HYPERLINK("https://app.astro.lead-studio.pro/product/9d81a922-244e-4a11-8b7e-1197afa2639b")</f>
      </c>
    </row>
    <row r="884" spans="1:10" customHeight="0">
      <c r="A884" s="2" t="inlineStr">
        <is>
          <t>SSD для серверов и СХД</t>
        </is>
      </c>
      <c r="B884" s="2" t="inlineStr">
        <is>
          <t>Samsung</t>
        </is>
      </c>
      <c r="C884" s="2" t="inlineStr">
        <is>
          <t>MZ7L33T8HBNA-00A07</t>
        </is>
      </c>
      <c r="D884" s="2" t="inlineStr">
        <is>
          <t>Твердотельный накопитель SSD Samsung Enterprise PM897 MZ7L33T8HBNA-00A07 3840GB, 2.5" 560/530 MB/s, 97k/60k IOPS, SATA 6Гб/с, 3DWPD (5Y) OEM</t>
        </is>
      </c>
      <c r="E884" s="2">
        <v>20</v>
      </c>
      <c r="F884" s="2">
        <v>20</v>
      </c>
      <c r="H884" s="2">
        <v>904</v>
      </c>
      <c r="I884" s="2" t="inlineStr">
        <is>
          <t>$</t>
        </is>
      </c>
      <c r="J884" s="2">
        <f>HYPERLINK("https://app.astro.lead-studio.pro/product/9c73a5fe-d805-4dad-ab50-bcb1b606c739")</f>
      </c>
    </row>
    <row r="885" spans="1:10" customHeight="0">
      <c r="A885" s="2" t="inlineStr">
        <is>
          <t>SSD для серверов и СХД</t>
        </is>
      </c>
      <c r="B885" s="2" t="inlineStr">
        <is>
          <t>Samsung</t>
        </is>
      </c>
      <c r="C885" s="2" t="inlineStr">
        <is>
          <t>MZ7L37T6HBLA-00A07</t>
        </is>
      </c>
      <c r="D885" s="2" t="inlineStr">
        <is>
          <t>Твердотельный накопитель SSD Samsung PM893 Enterprise MZ7L37T6HBLA-00A07 2.5", 7680GB, 550/520 MB/s, 98k/30k IOPS, SATA 6 Гб/с, 1DWPD (5Y)</t>
        </is>
      </c>
      <c r="E885" s="2">
        <v>11</v>
      </c>
      <c r="F885" s="2">
        <v>11</v>
      </c>
      <c r="H885" s="2">
        <v>1332</v>
      </c>
      <c r="I885" s="2" t="inlineStr">
        <is>
          <t>$</t>
        </is>
      </c>
      <c r="J885" s="2">
        <f>HYPERLINK("https://app.astro.lead-studio.pro/product/e1ff20bd-2062-4cc1-b98c-040f1245746d")</f>
      </c>
    </row>
    <row r="886" spans="1:10" customHeight="0">
      <c r="A886" s="2" t="inlineStr">
        <is>
          <t>SSD для серверов и СХД</t>
        </is>
      </c>
      <c r="B886" s="2" t="inlineStr">
        <is>
          <t>Samsung</t>
        </is>
      </c>
      <c r="C886" s="2" t="inlineStr">
        <is>
          <t>MZ7L3960HBLT-00A07</t>
        </is>
      </c>
      <c r="D886" s="2" t="inlineStr">
        <is>
          <t>Твердотельный накопитель SSD Samsung Enterprise PM897 MZ7L3960HBLT-00A07 960GB2.5" 560/530 MB/s, 97k/60k IOPS, SATA 6Гб/с, 3DWPD (5Y)</t>
        </is>
      </c>
      <c r="E886" s="2">
        <v>6</v>
      </c>
      <c r="F886" s="2">
        <v>6</v>
      </c>
      <c r="H886" s="2">
        <v>375</v>
      </c>
      <c r="I886" s="2" t="inlineStr">
        <is>
          <t>$</t>
        </is>
      </c>
      <c r="J886" s="2">
        <f>HYPERLINK("https://app.astro.lead-studio.pro/product/1d11c441-8437-4db9-ba10-ce84f1c7a946")</f>
      </c>
    </row>
    <row r="887" spans="1:10" customHeight="0">
      <c r="A887" s="2" t="inlineStr">
        <is>
          <t>SSD для серверов и СХД</t>
        </is>
      </c>
      <c r="B887" s="2" t="inlineStr">
        <is>
          <t>Samsung</t>
        </is>
      </c>
      <c r="C887" s="2" t="inlineStr">
        <is>
          <t>MZILG15THBLA-00A07</t>
        </is>
      </c>
      <c r="D887" s="2" t="inlineStr">
        <is>
          <t>Твердотельный накопитель SSD Samsung Enterprise PM1653 MZILG15THBLA-00A07 2.5", 15360GB, SAS 24 Гб/с, 1DWPD (5Y)</t>
        </is>
      </c>
      <c r="E887" s="2">
        <v>5</v>
      </c>
      <c r="F887" s="2">
        <v>5</v>
      </c>
      <c r="H887" s="2">
        <v>3727</v>
      </c>
      <c r="I887" s="2" t="inlineStr">
        <is>
          <t>$</t>
        </is>
      </c>
      <c r="J887" s="2">
        <f>HYPERLINK("https://app.astro.lead-studio.pro/product/99658c18-6151-4246-9797-4c14bbc83aac")</f>
      </c>
    </row>
    <row r="888" spans="1:10" customHeight="0">
      <c r="A888" s="2" t="inlineStr">
        <is>
          <t>SSD для серверов и СХД</t>
        </is>
      </c>
      <c r="B888" s="2" t="inlineStr">
        <is>
          <t>Samsung</t>
        </is>
      </c>
      <c r="C888" s="2" t="inlineStr">
        <is>
          <t>MZILG1T9HCJR-00A07</t>
        </is>
      </c>
      <c r="D888" s="2" t="inlineStr">
        <is>
          <t>Твердотельный накопитель SSD Samsung Enterprise PM1653 MZILG1T9HCJR-00A07 2.5",1920GB, SAS 24 Гб/с, 1DWPD (5Y)</t>
        </is>
      </c>
      <c r="E888" s="2">
        <v>20</v>
      </c>
      <c r="F888" s="2">
        <v>20</v>
      </c>
      <c r="H888" s="2">
        <v>597</v>
      </c>
      <c r="I888" s="2" t="inlineStr">
        <is>
          <t>$</t>
        </is>
      </c>
      <c r="J888" s="2">
        <f>HYPERLINK("https://app.astro.lead-studio.pro/product/3d15eb07-477b-413e-a0a7-7191c96bbf60")</f>
      </c>
    </row>
    <row r="889" spans="1:10" customHeight="0">
      <c r="A889" s="2" t="inlineStr">
        <is>
          <t>SSD для серверов и СХД</t>
        </is>
      </c>
      <c r="B889" s="2" t="inlineStr">
        <is>
          <t>Samsung</t>
        </is>
      </c>
      <c r="C889" s="2" t="inlineStr">
        <is>
          <t>MZILG3T8HCLS-00A07</t>
        </is>
      </c>
      <c r="D889" s="2" t="inlineStr">
        <is>
          <t>Твердотельный накопитель SSD Samsung Enterprise PM1653 MZILG3T8HCLS-00A07 2.5", 3840GB, SAS 24 Гб/с, 1DWPD (5Y)</t>
        </is>
      </c>
      <c r="E889" s="2">
        <v>20</v>
      </c>
      <c r="F889" s="2">
        <v>20</v>
      </c>
      <c r="H889" s="2">
        <v>992</v>
      </c>
      <c r="I889" s="2" t="inlineStr">
        <is>
          <t>$</t>
        </is>
      </c>
      <c r="J889" s="2">
        <f>HYPERLINK("https://app.astro.lead-studio.pro/product/e82d1c2d-c27e-45d1-ae04-f7ca0c316b50")</f>
      </c>
    </row>
    <row r="890" spans="1:10" customHeight="0">
      <c r="A890" s="2" t="inlineStr">
        <is>
          <t>SSD для серверов и СХД</t>
        </is>
      </c>
      <c r="B890" s="2" t="inlineStr">
        <is>
          <t>Samsung</t>
        </is>
      </c>
      <c r="C890" s="2" t="inlineStr">
        <is>
          <t>MZILG7T6HBLA-00A07</t>
        </is>
      </c>
      <c r="D890" s="2" t="inlineStr">
        <is>
          <t>Твердотельный накопитель SSD Samsung Enterprise PM1653 MZILG7T6HBLA-00A07 2.5", 7680GB, SAS 24 Гб/с, 1DWPD (5Y)</t>
        </is>
      </c>
      <c r="E890" s="2">
        <v>6</v>
      </c>
      <c r="F890" s="2">
        <v>6</v>
      </c>
      <c r="H890" s="2">
        <v>1654</v>
      </c>
      <c r="I890" s="2" t="inlineStr">
        <is>
          <t>$</t>
        </is>
      </c>
      <c r="J890" s="2">
        <f>HYPERLINK("https://app.astro.lead-studio.pro/product/5d016f3f-2b34-4526-8b06-cb8ee11c5538")</f>
      </c>
    </row>
    <row r="891" spans="1:10" customHeight="0">
      <c r="A891" s="2" t="inlineStr">
        <is>
          <t>SSD для серверов и СХД</t>
        </is>
      </c>
      <c r="B891" s="2" t="inlineStr">
        <is>
          <t>Samsung</t>
        </is>
      </c>
      <c r="C891" s="2" t="inlineStr">
        <is>
          <t>MZILG960HCHQ-00A07</t>
        </is>
      </c>
      <c r="D891" s="2" t="inlineStr">
        <is>
          <t>Твердотельный накопитель SSD Samsung Enterprise PM1653 MZILG960HCHQ-00A07 2.5", 960GB, SAS 24 Гб/с, 1DWPD (5Y)</t>
        </is>
      </c>
      <c r="E891" s="2">
        <v>17</v>
      </c>
      <c r="F891" s="2">
        <v>17</v>
      </c>
      <c r="H891" s="2">
        <v>397</v>
      </c>
      <c r="I891" s="2" t="inlineStr">
        <is>
          <t>$</t>
        </is>
      </c>
      <c r="J891" s="2">
        <f>HYPERLINK("https://app.astro.lead-studio.pro/product/7dfc68c5-0c0a-4fdb-ba72-7a945c1a384a")</f>
      </c>
    </row>
    <row r="892" spans="1:10" customHeight="0">
      <c r="A892" s="2" t="inlineStr">
        <is>
          <t>SSD для серверов и СХД</t>
        </is>
      </c>
      <c r="B892" s="2" t="inlineStr">
        <is>
          <t>Samsung</t>
        </is>
      </c>
      <c r="C892" s="2" t="inlineStr">
        <is>
          <t>MZILT1T9HBJR-00007</t>
        </is>
      </c>
      <c r="D892" s="2" t="inlineStr">
        <is>
          <t>Твердотельный накопитель SSD Samsung Enterprise  PM1643a MZILT1T9HBJR-00007 2.5", 1920GB, 2100/1800 MB/s, 430k/60k IOPS, SA 12 Гб/с, 1DWPD (5Y)</t>
        </is>
      </c>
      <c r="E892" s="2">
        <v>6</v>
      </c>
      <c r="F892" s="2">
        <v>6</v>
      </c>
      <c r="H892" s="2">
        <v>632</v>
      </c>
      <c r="I892" s="2" t="inlineStr">
        <is>
          <t>$</t>
        </is>
      </c>
      <c r="J892" s="2">
        <f>HYPERLINK("https://app.astro.lead-studio.pro/product/d8b8358e-79e1-4edf-8401-0ea223d14674")</f>
      </c>
    </row>
    <row r="893" spans="1:10" customHeight="0">
      <c r="A893" s="2" t="inlineStr">
        <is>
          <t>SSD для серверов и СХД</t>
        </is>
      </c>
      <c r="B893" s="2" t="inlineStr">
        <is>
          <t>Samsung</t>
        </is>
      </c>
      <c r="C893" s="2" t="inlineStr">
        <is>
          <t>MZILT3T8HBLS-00007</t>
        </is>
      </c>
      <c r="D893" s="2" t="inlineStr">
        <is>
          <t>Твердотельный накопитель SSD Samsung Ent.PM1643a MZILT3T8HBLS-00007 3840GB 2.5" 2100/2000 MB/s, 450k/90k IOPS, SAS 12 Гб/с, 1DWPD (5Y)</t>
        </is>
      </c>
      <c r="E893" s="2">
        <v>20</v>
      </c>
      <c r="F893" s="2">
        <v>20</v>
      </c>
      <c r="H893" s="2">
        <v>966</v>
      </c>
      <c r="I893" s="2" t="inlineStr">
        <is>
          <t>$</t>
        </is>
      </c>
      <c r="J893" s="2">
        <f>HYPERLINK("https://app.astro.lead-studio.pro/product/b93d337c-b62e-4cc2-a6b1-5d043c733753")</f>
      </c>
    </row>
    <row r="894" spans="1:10" customHeight="0">
      <c r="A894" s="2" t="inlineStr">
        <is>
          <t>SSD для серверов и СХД</t>
        </is>
      </c>
      <c r="B894" s="2" t="inlineStr">
        <is>
          <t>Samsung</t>
        </is>
      </c>
      <c r="C894" s="2" t="inlineStr">
        <is>
          <t>MZILT7T6HALA-00007</t>
        </is>
      </c>
      <c r="D894" s="2" t="inlineStr">
        <is>
          <t>Твердотельный накопитель SSD Samsung Enterprise  PM1643a MZILT7T6HALA-00007 2.5", 7680GB, 2100/2000 MB/s, 450k/90k IOPS, SA 12 Гб/с, 1DWPD (5Y) {48}</t>
        </is>
      </c>
      <c r="E894" s="2">
        <v>4</v>
      </c>
      <c r="F894" s="2">
        <v>4</v>
      </c>
      <c r="H894" s="2">
        <v>1968</v>
      </c>
      <c r="I894" s="2" t="inlineStr">
        <is>
          <t>$</t>
        </is>
      </c>
      <c r="J894" s="2">
        <f>HYPERLINK("https://app.astro.lead-studio.pro/product/e6d5d608-9fd6-4785-bf35-7207e16a1db4")</f>
      </c>
    </row>
    <row r="895" spans="1:10" customHeight="0">
      <c r="A895" s="2" t="inlineStr">
        <is>
          <t>SSD для серверов и СХД</t>
        </is>
      </c>
      <c r="B895" s="2" t="inlineStr">
        <is>
          <t>HPE</t>
        </is>
      </c>
      <c r="C895" s="2" t="inlineStr">
        <is>
          <t>P40498-B21</t>
        </is>
      </c>
      <c r="D895" s="2" t="inlineStr">
        <is>
          <t>Твердотельный накопитель SSD HPE 960GB SATA 6G Read Intensive SFF BC Multi Vendor  </t>
        </is>
      </c>
      <c r="E895" s="2">
        <v>22</v>
      </c>
      <c r="F895" s="2">
        <v>22</v>
      </c>
      <c r="H895" s="2">
        <v>358</v>
      </c>
      <c r="I895" s="2" t="inlineStr">
        <is>
          <t>$</t>
        </is>
      </c>
      <c r="J895" s="2">
        <f>HYPERLINK("https://app.astro.lead-studio.pro/product/675780ef-49b9-4004-97af-eda948e3a36f")</f>
      </c>
    </row>
    <row r="896" spans="1:10" customHeight="0">
      <c r="A896" s="2" t="inlineStr">
        <is>
          <t>SSD для серверов и СХД</t>
        </is>
      </c>
      <c r="B896" s="2" t="inlineStr">
        <is>
          <t>HPE</t>
        </is>
      </c>
      <c r="C896" s="2" t="inlineStr">
        <is>
          <t>P40499-B21</t>
        </is>
      </c>
      <c r="D896" s="2" t="inlineStr">
        <is>
          <t>Твердотельный накопитель SSD HPE 1.92TB SATA 6G Read Intensive SFF BC Multi Vendor </t>
        </is>
      </c>
      <c r="E896" s="2">
        <v>12</v>
      </c>
      <c r="F896" s="2">
        <v>12</v>
      </c>
      <c r="H896" s="2">
        <v>916</v>
      </c>
      <c r="I896" s="2" t="inlineStr">
        <is>
          <t>$</t>
        </is>
      </c>
      <c r="J896" s="2">
        <f>HYPERLINK("https://app.astro.lead-studio.pro/product/8c91c6aa-1132-4f22-b8ff-c61eebce93c4")</f>
      </c>
    </row>
    <row r="897" spans="1:10" customHeight="0">
      <c r="A897" s="2" t="inlineStr">
        <is>
          <t>SSD для серверов и СХД</t>
        </is>
      </c>
      <c r="B897" s="2" t="inlineStr">
        <is>
          <t>HPE</t>
        </is>
      </c>
      <c r="C897" s="2" t="inlineStr">
        <is>
          <t>P40503-B21</t>
        </is>
      </c>
      <c r="D897" s="2" t="inlineStr">
        <is>
          <t>Твердотельный накопитель SSD HPE 960GB SATA 6G Mixed Use SFF BC Multi Vendor </t>
        </is>
      </c>
      <c r="E897" s="2">
        <v>20</v>
      </c>
      <c r="F897" s="2">
        <v>20</v>
      </c>
      <c r="H897" s="2">
        <v>695</v>
      </c>
      <c r="I897" s="2" t="inlineStr">
        <is>
          <t>$</t>
        </is>
      </c>
      <c r="J897" s="2">
        <f>HYPERLINK("https://app.astro.lead-studio.pro/product/ff7e0bc0-d168-4598-bb8e-729ab5cbd41f")</f>
      </c>
    </row>
    <row r="898" spans="1:10" customHeight="0">
      <c r="A898" s="2" t="inlineStr">
        <is>
          <t>SSD для серверов и СХД</t>
        </is>
      </c>
      <c r="B898" s="2" t="inlineStr">
        <is>
          <t>HPE</t>
        </is>
      </c>
      <c r="C898" s="2" t="inlineStr">
        <is>
          <t>P40504-B21</t>
        </is>
      </c>
      <c r="D898" s="2" t="inlineStr">
        <is>
          <t>Твердотельный накопитель SSD HPE 1.92TB SATA 6G Mixed Use SFF BC Multi Vendor </t>
        </is>
      </c>
      <c r="E898" s="2">
        <v>10</v>
      </c>
      <c r="F898" s="2">
        <v>10</v>
      </c>
      <c r="H898" s="2">
        <v>1210</v>
      </c>
      <c r="I898" s="2" t="inlineStr">
        <is>
          <t>$</t>
        </is>
      </c>
      <c r="J898" s="2">
        <f>HYPERLINK("https://app.astro.lead-studio.pro/product/32e25f57-a9f9-4530-9de2-0f242fc05121")</f>
      </c>
    </row>
    <row r="899" spans="1:10" customHeight="0">
      <c r="A899" s="2" t="inlineStr">
        <is>
          <t>SSD для серверов и СХД</t>
        </is>
      </c>
      <c r="B899" s="2" t="inlineStr">
        <is>
          <t>HPE</t>
        </is>
      </c>
      <c r="C899" s="2" t="inlineStr">
        <is>
          <t>P40510-B21</t>
        </is>
      </c>
      <c r="D899" s="2" t="inlineStr">
        <is>
          <t>Твердотельный накопитель SSD HPE 960GB SAS 12G Mixed Use SFF BC Value SAS Multi Vendor </t>
        </is>
      </c>
      <c r="E899" s="2">
        <v>17</v>
      </c>
      <c r="F899" s="2">
        <v>17</v>
      </c>
      <c r="H899" s="2">
        <v>906</v>
      </c>
      <c r="I899" s="2" t="inlineStr">
        <is>
          <t>$</t>
        </is>
      </c>
      <c r="J899" s="2">
        <f>HYPERLINK("https://app.astro.lead-studio.pro/product/653cbaa4-4b20-4d92-99f4-e57d3bc2ce9c")</f>
      </c>
    </row>
    <row r="900" spans="1:10" customHeight="0">
      <c r="A900" s="2" t="inlineStr">
        <is>
          <t>SSD для серверов и СХД</t>
        </is>
      </c>
      <c r="B900" s="2" t="inlineStr">
        <is>
          <t>HPE</t>
        </is>
      </c>
      <c r="C900" s="2" t="inlineStr">
        <is>
          <t>P40511-B21</t>
        </is>
      </c>
      <c r="D900" s="2" t="inlineStr">
        <is>
          <t>Твердотельный накопитель SSD HPE ThinkSystem PM883 1.92TB 2.5"  SAS 12G Mixed Use SFF BC Value SAS Multi Vendor  960GB Entry SATA 6Gb Hot Swap </t>
        </is>
      </c>
      <c r="E900" s="2">
        <v>8</v>
      </c>
      <c r="F900" s="2">
        <v>8</v>
      </c>
      <c r="H900" s="2">
        <v>1088</v>
      </c>
      <c r="I900" s="2" t="inlineStr">
        <is>
          <t>$</t>
        </is>
      </c>
      <c r="J900" s="2">
        <f>HYPERLINK("https://app.astro.lead-studio.pro/product/c84a19eb-0874-4ae7-b66c-d720ad3389c6")</f>
      </c>
    </row>
    <row r="901" spans="1:10" customHeight="0">
      <c r="A901" s="2" t="inlineStr">
        <is>
          <t>SSD для серверов и СХД</t>
        </is>
      </c>
      <c r="B901" s="2" t="inlineStr">
        <is>
          <t>HPE</t>
        </is>
      </c>
      <c r="C901" s="2" t="inlineStr">
        <is>
          <t>P49029-B21</t>
        </is>
      </c>
      <c r="D901" s="2" t="inlineStr">
        <is>
          <t>Твердотельный накопитель SSD HPE 960GB SAS 12G Read Intensive SFF BC Value SAS Multi Vendor </t>
        </is>
      </c>
      <c r="E901" s="2">
        <v>20</v>
      </c>
      <c r="F901" s="2">
        <v>20</v>
      </c>
      <c r="H901" s="2">
        <v>682</v>
      </c>
      <c r="I901" s="2" t="inlineStr">
        <is>
          <t>$</t>
        </is>
      </c>
      <c r="J901" s="2">
        <f>HYPERLINK("https://app.astro.lead-studio.pro/product/07edd588-f0ee-4756-b7d5-3fd7d6082333")</f>
      </c>
    </row>
    <row r="902" spans="1:10" customHeight="0">
      <c r="A902" s="2" t="inlineStr">
        <is>
          <t>SSD для серверов и СХД</t>
        </is>
      </c>
      <c r="B902" s="2" t="inlineStr">
        <is>
          <t>HPE</t>
        </is>
      </c>
      <c r="C902" s="2" t="inlineStr">
        <is>
          <t>P49031-B21</t>
        </is>
      </c>
      <c r="D902" s="2" t="inlineStr">
        <is>
          <t>Твердотельный накопитель SSD HPE 1.92TB SAS 12G Read Intensive SFF BC Value SAS Multi Vendor </t>
        </is>
      </c>
      <c r="E902" s="2">
        <v>10</v>
      </c>
      <c r="F902" s="2">
        <v>10</v>
      </c>
      <c r="H902" s="2">
        <v>893</v>
      </c>
      <c r="I902" s="2" t="inlineStr">
        <is>
          <t>$</t>
        </is>
      </c>
      <c r="J902" s="2">
        <f>HYPERLINK("https://app.astro.lead-studio.pro/product/ce4367fe-d2e5-4228-a3d8-8d0a9d3ec549")</f>
      </c>
    </row>
    <row r="903" spans="1:10" customHeight="0">
      <c r="A903" s="2" t="inlineStr">
        <is>
          <t>SSD для серверов и СХД</t>
        </is>
      </c>
      <c r="B903" s="2" t="inlineStr">
        <is>
          <t>HPE</t>
        </is>
      </c>
      <c r="C903" s="2" t="inlineStr">
        <is>
          <t>R0Q47A</t>
        </is>
      </c>
      <c r="D903" s="2" t="inlineStr">
        <is>
          <t>Твердотельный накопитель SSD HPE MSA 1.92TB SAS 12G Read Intensive SFF 2.5in, for MSA1060/2060/2062</t>
        </is>
      </c>
      <c r="E903" s="2">
        <v>2</v>
      </c>
      <c r="F903" s="2">
        <v>2</v>
      </c>
      <c r="H903" s="2">
        <v>1103</v>
      </c>
      <c r="I903" s="2" t="inlineStr">
        <is>
          <t>$</t>
        </is>
      </c>
      <c r="J903" s="2">
        <f>HYPERLINK("https://app.astro.lead-studio.pro/product/1d3f6b6e-369b-42e4-8d5a-e4631f02c15f")</f>
      </c>
    </row>
    <row r="904" spans="1:10" customHeight="0">
      <c r="A904" s="2" t="inlineStr">
        <is>
          <t>SSD для серверов и СХД</t>
        </is>
      </c>
      <c r="B904" s="2" t="inlineStr">
        <is>
          <t>Phison</t>
        </is>
      </c>
      <c r="C904" s="2" t="inlineStr">
        <is>
          <t>SC-ESM1710-3840G</t>
        </is>
      </c>
      <c r="D904" s="2" t="inlineStr">
        <is>
          <t>Твердотельный накопитель SSD Phison SC-ESM1710-3840G 3840GB 2.5"  </t>
        </is>
      </c>
      <c r="E904" s="2">
        <v>5</v>
      </c>
      <c r="F904" s="2">
        <v>5</v>
      </c>
      <c r="H904" s="2">
        <v>511</v>
      </c>
      <c r="I904" s="2" t="inlineStr">
        <is>
          <t>$</t>
        </is>
      </c>
      <c r="J904" s="2">
        <f>HYPERLINK("https://app.astro.lead-studio.pro/product/1ce742b6-3ad7-49b4-9a73-47486be4a303")</f>
      </c>
    </row>
    <row r="905" spans="1:10" customHeight="0">
      <c r="A905" s="2" t="inlineStr">
        <is>
          <t>SSD для серверов и СХД</t>
        </is>
      </c>
      <c r="B905" s="2" t="inlineStr">
        <is>
          <t>Intel</t>
        </is>
      </c>
      <c r="C905" s="2" t="inlineStr">
        <is>
          <t>SSDSC2KB038TZ01</t>
        </is>
      </c>
      <c r="D905" s="2" t="inlineStr">
        <is>
          <t>Твердотельный накопитель SSD Intel DC D3-S4520 SSDSC2KB038TZ01 3840GB 2.5" SATA 6Gb/s, 550/510, IOPS 92/31K, MTBF 2M, TLC 15.3PBW, 2.1DWPD (482691)</t>
        </is>
      </c>
      <c r="E905" s="2">
        <v>5</v>
      </c>
      <c r="F905" s="2">
        <v>5</v>
      </c>
      <c r="H905" s="2">
        <v>625</v>
      </c>
      <c r="I905" s="2" t="inlineStr">
        <is>
          <t>$</t>
        </is>
      </c>
      <c r="J905" s="2">
        <f>HYPERLINK("https://app.astro.lead-studio.pro/product/d04b64c0-fbd2-4bb3-bc7f-3682c8f6cea6")</f>
      </c>
    </row>
    <row r="906" spans="1:10" customHeight="0">
      <c r="A906" s="2" t="inlineStr">
        <is>
          <t>SSD для серверов и СХД</t>
        </is>
      </c>
      <c r="B906" s="2" t="inlineStr">
        <is>
          <t>ScaleFlux</t>
        </is>
      </c>
      <c r="C906" s="2" t="inlineStr">
        <is>
          <t>CSDU5SPC38</t>
        </is>
      </c>
      <c r="D906" s="2" t="inlineStr">
        <is>
          <t>Твердотельный накопитель SSD ScaleFlux U.2 CSD3000 3.84TB </t>
        </is>
      </c>
      <c r="E906" s="2">
        <v>5</v>
      </c>
      <c r="F906" s="2">
        <v>5</v>
      </c>
      <c r="H906" s="2">
        <v>533</v>
      </c>
      <c r="I906" s="2" t="inlineStr">
        <is>
          <t>$</t>
        </is>
      </c>
      <c r="J906" s="2">
        <f>HYPERLINK("https://app.astro.lead-studio.pro/product/190a7ae7-d543-4538-8e51-a610f13080ff")</f>
      </c>
    </row>
    <row r="907" spans="1:10" customHeight="0">
      <c r="A907" s="2" t="inlineStr">
        <is>
          <t>SSD для серверов и СХД</t>
        </is>
      </c>
      <c r="B907" s="2" t="inlineStr">
        <is>
          <t>Samsung</t>
        </is>
      </c>
      <c r="C907" s="2" t="inlineStr">
        <is>
          <t>MZQL215THBLA-00A07</t>
        </is>
      </c>
      <c r="D907" s="2" t="inlineStr">
        <is>
          <t>Твердотельный накопитель SSD Samsung  Enterprise PM9A3 U.2 MZQL215THBLA-00A07 2.5" 15TB  6800/4000 MB/s, 1000k/180k IOPS, NVME Gen 4, 1DWPD (5Y), 7mm</t>
        </is>
      </c>
      <c r="E907" s="2">
        <v>20</v>
      </c>
      <c r="F907" s="2">
        <v>20</v>
      </c>
      <c r="H907" s="2">
        <v>2494</v>
      </c>
      <c r="I907" s="2" t="inlineStr">
        <is>
          <t>$</t>
        </is>
      </c>
      <c r="J907" s="2">
        <f>HYPERLINK("https://app.astro.lead-studio.pro/product/8dda7ad7-5742-42f0-8806-c68b2894ef84")</f>
      </c>
    </row>
    <row r="908" spans="1:10" customHeight="0">
      <c r="A908" s="2" t="inlineStr">
        <is>
          <t>SSD для серверов и СХД</t>
        </is>
      </c>
      <c r="B908" s="2" t="inlineStr">
        <is>
          <t>Samsung</t>
        </is>
      </c>
      <c r="C908" s="2" t="inlineStr">
        <is>
          <t>MZQL23T8HCLS-00A07</t>
        </is>
      </c>
      <c r="D908" s="2" t="inlineStr">
        <is>
          <t>Твердотельный накопитель SSD Samsung Enterprise PM9A3 U.2 MZQL23T8HCLS-00A07 2.5" 3840GB, 6900/4100 MB/s, 1000k/180k IOPS, NVME Gen 4, 1DWPD (5Y), 7mm</t>
        </is>
      </c>
      <c r="E908" s="2">
        <v>11</v>
      </c>
      <c r="F908" s="2">
        <v>11</v>
      </c>
      <c r="H908" s="2">
        <v>712</v>
      </c>
      <c r="I908" s="2" t="inlineStr">
        <is>
          <t>$</t>
        </is>
      </c>
      <c r="J908" s="2">
        <f>HYPERLINK("https://app.astro.lead-studio.pro/product/7eb432b6-ec6b-4e58-88c8-44b7e716bcc2")</f>
      </c>
    </row>
    <row r="909" spans="1:10" customHeight="0">
      <c r="A909" s="2" t="inlineStr">
        <is>
          <t>SSD для серверов и СХД</t>
        </is>
      </c>
      <c r="B909" s="2" t="inlineStr">
        <is>
          <t>Samsung</t>
        </is>
      </c>
      <c r="C909" s="2" t="inlineStr">
        <is>
          <t>MZQL27T6HBLA-00A07</t>
        </is>
      </c>
      <c r="D909" s="2" t="inlineStr">
        <is>
          <t>Твердотельный накопитель SSD SamsungEnterprise PM9A3 U.2 MZQL27T6HBLA-00A07 2.5" 7680GB,  6700/4000 MB/s, 1100k/200k IOPS, NVME Gen 4, 1DWPD (5Y), 7mm</t>
        </is>
      </c>
      <c r="E909" s="2">
        <v>20</v>
      </c>
      <c r="F909" s="2">
        <v>20</v>
      </c>
      <c r="H909" s="2">
        <v>1341</v>
      </c>
      <c r="I909" s="2" t="inlineStr">
        <is>
          <t>$</t>
        </is>
      </c>
      <c r="J909" s="2">
        <f>HYPERLINK("https://app.astro.lead-studio.pro/product/11ffeee4-88e4-457c-8aa1-44bff774a28c")</f>
      </c>
    </row>
    <row r="910" spans="1:10" customHeight="0">
      <c r="A910" s="2" t="inlineStr">
        <is>
          <t>SSD для серверов и СХД</t>
        </is>
      </c>
      <c r="B910" s="2" t="inlineStr">
        <is>
          <t>DapuStor</t>
        </is>
      </c>
      <c r="C910" s="2" t="inlineStr">
        <is>
          <t>R5101</t>
        </is>
      </c>
      <c r="D910" s="2" t="inlineStr">
        <is>
          <t>Твердотельный накопитель SSD DapuStor NVMe R5101, GEN4, U.2, 3.84T </t>
        </is>
      </c>
      <c r="E910" s="2">
        <v>1</v>
      </c>
      <c r="F910" s="2">
        <v>1</v>
      </c>
      <c r="H910" s="2">
        <v>482</v>
      </c>
      <c r="I910" s="2" t="inlineStr">
        <is>
          <t>$</t>
        </is>
      </c>
      <c r="J910" s="2">
        <f>HYPERLINK("https://app.astro.lead-studio.pro/product/435e2c7c-c975-4a8d-ab28-7c02fe74a1a8")</f>
      </c>
    </row>
    <row r="911" spans="1:10" customHeight="0">
      <c r="A911" s="2" t="inlineStr">
        <is>
          <t>SSD для серверов и СХД</t>
        </is>
      </c>
      <c r="B911" s="2" t="inlineStr">
        <is>
          <t>Intel</t>
        </is>
      </c>
      <c r="C911" s="2" t="inlineStr">
        <is>
          <t>SBFPF2BV307T001</t>
        </is>
      </c>
      <c r="D911" s="2" t="inlineStr">
        <is>
          <t>Твердотельный накопитель SSD Intel 2.5" U.2 SSD Intel 30.72TB D5-P5316 PCIe Gen4x4 with NVMe, 7000/3600MB/s, QLC  (SBFPF2BV307T001)</t>
        </is>
      </c>
      <c r="E911" s="2">
        <v>8</v>
      </c>
      <c r="F911" s="2">
        <v>8</v>
      </c>
      <c r="H911" s="2">
        <v>3987</v>
      </c>
      <c r="I911" s="2" t="inlineStr">
        <is>
          <t>$</t>
        </is>
      </c>
      <c r="J911" s="2">
        <f>HYPERLINK("https://app.astro.lead-studio.pro/product/ea01e1f2-f6d3-44b0-b881-d657bb70d99d")</f>
      </c>
    </row>
    <row r="912" spans="1:10" customHeight="0">
      <c r="A912" s="2" t="inlineStr">
        <is>
          <t>SSD для серверов и СХД</t>
        </is>
      </c>
      <c r="B912" s="2" t="inlineStr">
        <is>
          <t>Intel</t>
        </is>
      </c>
      <c r="C912" s="2" t="inlineStr">
        <is>
          <t>SSDPF2KX076T1N1</t>
        </is>
      </c>
      <c r="D912" s="2" t="inlineStr">
        <is>
          <t>Твердотельный накопитель SSD Intel D7-P5520  SSDPF2KX076T1N1 2.5" U.2  7.68TB PCIe Gen4x4 with NVMe, 7100/4200, IOPS 110/100K, TLC </t>
        </is>
      </c>
      <c r="E912" s="2">
        <v>1</v>
      </c>
      <c r="F912" s="2">
        <v>1</v>
      </c>
      <c r="H912" s="2">
        <v>1359</v>
      </c>
      <c r="I912" s="2" t="inlineStr">
        <is>
          <t>$</t>
        </is>
      </c>
      <c r="J912" s="2">
        <f>HYPERLINK("https://app.astro.lead-studio.pro/product/0953715f-54c7-464f-99aa-71d3148895ab")</f>
      </c>
    </row>
    <row r="913" spans="1:10" customHeight="0">
      <c r="A913" s="2" t="inlineStr">
        <is>
          <t>SSD для серверов и СХД</t>
        </is>
      </c>
      <c r="B913" s="2" t="inlineStr">
        <is>
          <t>Intel</t>
        </is>
      </c>
      <c r="C913" s="2" t="inlineStr">
        <is>
          <t>SSDPF2KX153T1N1</t>
        </is>
      </c>
      <c r="D913" s="2" t="inlineStr">
        <is>
          <t>Жесткий диск SSD Intel 2.5" U.2 SSD Intel 15.36TB D7-P5520 PCIe Gen4x4 with NVMe, 7100/4200, IOPS 110/100K, TLC (SSDPF2KX153T1N1)</t>
        </is>
      </c>
      <c r="E913" s="2">
        <v>3</v>
      </c>
      <c r="F913" s="2">
        <v>3</v>
      </c>
      <c r="H913" s="2">
        <v>2977</v>
      </c>
      <c r="I913" s="2" t="inlineStr">
        <is>
          <t>$</t>
        </is>
      </c>
      <c r="J913" s="2">
        <f>HYPERLINK("https://app.astro.lead-studio.pro/product/ddd2bb7f-5b10-4b25-87cb-dad73c707408")</f>
      </c>
    </row>
    <row r="914" spans="1:10" customHeight="0">
      <c r="A914" s="2" t="inlineStr">
        <is>
          <t>SSD для серверов и СХД</t>
        </is>
      </c>
      <c r="B914" s="2" t="inlineStr">
        <is>
          <t>Intel</t>
        </is>
      </c>
      <c r="C914" s="2" t="inlineStr">
        <is>
          <t>SSDPF2NV153TZN1</t>
        </is>
      </c>
      <c r="D914" s="2" t="inlineStr">
        <is>
          <t>Твердотельный накопитель SSD Intel U.2 D5-P5316 SSDPF2NV153TZN1 15360GB  2.5" PCIe Gen4x4 with NVMe, 7000/3200, IOPS 800K, QLC,10.78PBW (rand), 51.85PBW (seq), 15mm {50} (481953)</t>
        </is>
      </c>
      <c r="E914" s="2">
        <v>20</v>
      </c>
      <c r="F914" s="2">
        <v>20</v>
      </c>
      <c r="H914" s="2">
        <v>1178</v>
      </c>
      <c r="I914" s="2" t="inlineStr">
        <is>
          <t>$</t>
        </is>
      </c>
      <c r="J914" s="2">
        <f>HYPERLINK("https://app.astro.lead-studio.pro/product/06a875fb-51ce-4b33-b1d5-2e3a885cbab9")</f>
      </c>
    </row>
    <row r="915" spans="1:10" customHeight="0">
      <c r="A915" s="2" t="inlineStr">
        <is>
          <t>SSD для серверов и СХД</t>
        </is>
      </c>
      <c r="B915" s="2" t="inlineStr">
        <is>
          <t>Samsung</t>
        </is>
      </c>
      <c r="C915" s="2" t="inlineStr">
        <is>
          <t>MZWLO1T9HCJR-00A07</t>
        </is>
      </c>
      <c r="D915" s="2" t="inlineStr">
        <is>
          <t>Твердотельный накопитель SSD Samsung Enterprise  PM1743 U.3 MZWLO1T9HCJR-00A07 2.5" 1920GB, 14000/3000 MB/s, 2000k/150k IOPS, NVME Gen 5, 1DWPD (5Y), 15mm</t>
        </is>
      </c>
      <c r="E915" s="2">
        <v>20</v>
      </c>
      <c r="F915" s="2">
        <v>20</v>
      </c>
      <c r="H915" s="2">
        <v>693</v>
      </c>
      <c r="I915" s="2" t="inlineStr">
        <is>
          <t>$</t>
        </is>
      </c>
      <c r="J915" s="2">
        <f>HYPERLINK("https://app.astro.lead-studio.pro/product/687dd23c-8390-4c51-a96c-b17389f3304c")</f>
      </c>
    </row>
    <row r="916" spans="1:10" customHeight="0">
      <c r="A916" s="2" t="inlineStr">
        <is>
          <t>SSD для серверов и СХД</t>
        </is>
      </c>
      <c r="B916" s="2" t="inlineStr">
        <is>
          <t>Samsung</t>
        </is>
      </c>
      <c r="C916" s="2" t="inlineStr">
        <is>
          <t>MZWLO3T8HCLS-00A07</t>
        </is>
      </c>
      <c r="D916" s="2" t="inlineStr">
        <is>
          <t>Твердотельный накопитель SSD Samsung MZWLO3T8HCLS-00A07  2.5" U.3, 3840GB, PM1743, 14000/6000 MB/s, 2500k/280k IOPS, PCI-e 5.0, 1DWPD (5Y), 15mm</t>
        </is>
      </c>
      <c r="E916" s="2">
        <v>16</v>
      </c>
      <c r="F916" s="2">
        <v>16</v>
      </c>
      <c r="H916" s="2">
        <v>1147</v>
      </c>
      <c r="I916" s="2" t="inlineStr">
        <is>
          <t>$</t>
        </is>
      </c>
      <c r="J916" s="2">
        <f>HYPERLINK("https://app.astro.lead-studio.pro/product/8f981cea-c6c2-4924-9ed4-75d87bf57de6")</f>
      </c>
    </row>
    <row r="917" spans="1:10" customHeight="0">
      <c r="A917" s="2" t="inlineStr">
        <is>
          <t>Аксессуары для серверов</t>
        </is>
      </c>
      <c r="B917" s="2" t="inlineStr">
        <is>
          <t>Edge-corE</t>
        </is>
      </c>
      <c r="C917" s="2" t="inlineStr">
        <is>
          <t>5835-54X-O-AC-F</t>
        </is>
      </c>
      <c r="D917" s="2" t="inlineStr">
        <is>
          <t>Коммутатор Edge-corE 5835-54X-O-AC-F Коммутатор 2AS5835-54X, 48-Port 10G SFP+ with 6x100G QSFP28 uplinks</t>
        </is>
      </c>
      <c r="E917" s="2">
        <v>1</v>
      </c>
      <c r="F917" s="2">
        <v>1</v>
      </c>
      <c r="H917" s="2">
        <v>12262</v>
      </c>
      <c r="I917" s="2" t="inlineStr">
        <is>
          <t>$</t>
        </is>
      </c>
      <c r="J917" s="2">
        <f>HYPERLINK("https://app.astro.lead-studio.pro/product/71026b8b-8eea-4dcc-939d-b74cdc24a935")</f>
      </c>
    </row>
    <row r="918" spans="1:10" customHeight="0">
      <c r="A918" s="2" t="inlineStr">
        <is>
          <t>Аксессуары для серверов</t>
        </is>
      </c>
      <c r="B918" s="2" t="inlineStr">
        <is>
          <t>SuperMicro</t>
        </is>
      </c>
      <c r="C918" s="2" t="inlineStr">
        <is>
          <t>AOC-SLG3-4E2P</t>
        </is>
      </c>
      <c r="D918" s="2" t="inlineStr">
        <is>
          <t>Адаптер SuperMicro Адаптер NVMe Supermicro PCIe 4P Switch AOC-SLG3-4E2P</t>
        </is>
      </c>
      <c r="E918" s="2">
        <v>1</v>
      </c>
      <c r="F918" s="2">
        <v>1</v>
      </c>
      <c r="H918" s="2">
        <v>538</v>
      </c>
      <c r="I918" s="2" t="inlineStr">
        <is>
          <t>$</t>
        </is>
      </c>
      <c r="J918" s="2">
        <f>HYPERLINK("https://app.astro.lead-studio.pro/product/1f177678-56fe-4b4c-930e-3db245ab9b9f")</f>
      </c>
    </row>
    <row r="919" spans="1:10" customHeight="0">
      <c r="A919" s="2" t="inlineStr">
        <is>
          <t>Аксессуары для серверов</t>
        </is>
      </c>
      <c r="B919" s="2" t="inlineStr">
        <is>
          <t>SuperMicro</t>
        </is>
      </c>
      <c r="C919" s="2" t="inlineStr">
        <is>
          <t>AOM-SADPT-S</t>
        </is>
      </c>
      <c r="D919" s="2" t="inlineStr">
        <is>
          <t>Комплектующие SuperMicro AOM-SADPT-S Bypass card for serviceable 60/90 Bay Systems, PCI Switch, 2x M.2 (2280/22110)</t>
        </is>
      </c>
      <c r="E919" s="2">
        <v>5</v>
      </c>
      <c r="F919" s="2">
        <v>5</v>
      </c>
      <c r="H919" s="2">
        <v>851</v>
      </c>
      <c r="I919" s="2" t="inlineStr">
        <is>
          <t>$</t>
        </is>
      </c>
      <c r="J919" s="2">
        <f>HYPERLINK("https://app.astro.lead-studio.pro/product/2613bc1b-b996-411f-a27c-0930a553d0dc")</f>
      </c>
    </row>
    <row r="920" spans="1:10" customHeight="0">
      <c r="A920" s="2" t="inlineStr">
        <is>
          <t>Аксессуары для серверов</t>
        </is>
      </c>
      <c r="B920" s="2" t="inlineStr">
        <is>
          <t>Leadtek</t>
        </is>
      </c>
      <c r="C920" s="2" t="inlineStr">
        <is>
          <t>TERA2140 (3292E003101)</t>
        </is>
      </c>
      <c r="D920" s="2" t="inlineStr">
        <is>
          <t>Нулевой клиент Leadtek TERADICI TERA2140 (292E) PCOIP GRAPHICS ZERO CLIENT DEVICE 4Gbit DPx4+USBx4+AUDIO+RJ45 (PN: 3292E003101)</t>
        </is>
      </c>
      <c r="E920" s="2">
        <v>10</v>
      </c>
      <c r="F920" s="2">
        <v>10</v>
      </c>
      <c r="H920" s="2">
        <v>648</v>
      </c>
      <c r="I920" s="2" t="inlineStr">
        <is>
          <t>$</t>
        </is>
      </c>
      <c r="J920" s="2">
        <f>HYPERLINK("https://app.astro.lead-studio.pro/product/f8228fb9-5835-4f8a-af3b-744241d925d7")</f>
      </c>
    </row>
    <row r="921" spans="1:10" customHeight="0">
      <c r="A921" s="2" t="inlineStr">
        <is>
          <t>Аксессуары для серверов</t>
        </is>
      </c>
      <c r="B921" s="2" t="inlineStr">
        <is>
          <t>Leadtek</t>
        </is>
      </c>
      <c r="C921" s="2" t="inlineStr">
        <is>
          <t>TERA2140 (3292E006101)</t>
        </is>
      </c>
      <c r="D921" s="2" t="inlineStr">
        <is>
          <t>TERADICI TERA2140 Zero Client – FiberSMART CARD READER PCOIP GRAPHICS ZERO CLIENT DEVICE 4Gbit DPx4+USBx3+AUDIO+FIBER(SFP) EU Power Cord </t>
        </is>
      </c>
      <c r="E921" s="2">
        <v>5</v>
      </c>
      <c r="F921" s="2">
        <v>5</v>
      </c>
      <c r="H921" s="2">
        <v>834</v>
      </c>
      <c r="I921" s="2" t="inlineStr">
        <is>
          <t>$</t>
        </is>
      </c>
      <c r="J921" s="2">
        <f>HYPERLINK("https://app.astro.lead-studio.pro/product/229a97a1-1302-4b79-964c-6e3c3623ef3e")</f>
      </c>
    </row>
    <row r="922" spans="1:10" customHeight="0">
      <c r="A922" s="2" t="inlineStr">
        <is>
          <t>Аксессуары для серверов</t>
        </is>
      </c>
      <c r="B922" s="2" t="inlineStr">
        <is>
          <t>Leadtek</t>
        </is>
      </c>
      <c r="C922" s="2" t="inlineStr">
        <is>
          <t>TERA2140 (3292E00A101)</t>
        </is>
      </c>
      <c r="D922" s="2" t="inlineStr">
        <is>
          <t>Нулевой клиент Leadtek TERA2140 (292E) 3292E006101 4Gbit DISPLAYPORTx4+USBx3+AUDIO+SC+FIBER HEATSINK (аналог артикула 134407)</t>
        </is>
      </c>
      <c r="E922" s="2">
        <v>10</v>
      </c>
      <c r="F922" s="2">
        <v>10</v>
      </c>
      <c r="H922" s="2">
        <v>675</v>
      </c>
      <c r="I922" s="2" t="inlineStr">
        <is>
          <t>$</t>
        </is>
      </c>
      <c r="J922" s="2">
        <f>HYPERLINK("https://app.astro.lead-studio.pro/product/96cb1928-e83f-4f43-8ebc-bf962214e252")</f>
      </c>
    </row>
    <row r="923" spans="1:10" customHeight="0">
      <c r="A923" s="2" t="inlineStr">
        <is>
          <t>Блоки питания для серверов</t>
        </is>
      </c>
      <c r="B923" s="2" t="inlineStr">
        <is>
          <t>FSP</t>
        </is>
      </c>
      <c r="C923" s="2" t="inlineStr">
        <is>
          <t>132-20500-0500A0</t>
        </is>
      </c>
      <c r="D923" s="2" t="inlineStr">
        <is>
          <t>Блок питания Chenbro 132-20500-0500A0 PSU, 500W, 1+1 Redundant PSU, FSP500-50RAB, w/PSU Bracket (Note 2)</t>
        </is>
      </c>
      <c r="E923" s="2">
        <v>3</v>
      </c>
      <c r="F923" s="2">
        <v>3</v>
      </c>
      <c r="H923" s="2">
        <v>565</v>
      </c>
      <c r="I923" s="2" t="inlineStr">
        <is>
          <t>$</t>
        </is>
      </c>
      <c r="J923" s="2">
        <f>HYPERLINK("https://app.astro.lead-studio.pro/product/6290b63d-ce13-43dc-bdd4-a3255e765211")</f>
      </c>
    </row>
    <row r="924" spans="1:10" customHeight="0">
      <c r="A924" s="2" t="inlineStr">
        <is>
          <t>Блоки питания для серверов</t>
        </is>
      </c>
      <c r="B924" s="2" t="inlineStr">
        <is>
          <t>Chenbro</t>
        </is>
      </c>
      <c r="C924" s="2" t="inlineStr">
        <is>
          <t>132-20650-0701C1</t>
        </is>
      </c>
      <c r="D924" s="2" t="inlineStr">
        <is>
          <t>Блок питания Chenbro 132-20650-0701C1 PSU,REDUNDANT1+1,650W,W/PFC,FULL RANGE,P24:740/P8:640/P4+4:650MM,W/BRACRANGE,P24:740/P8:640/P4+4:650MM,W/BRACKET,R2IS7651A-G(62368),RM23608e09,REV:C1,ACBEL</t>
        </is>
      </c>
      <c r="E924" s="2">
        <v>10</v>
      </c>
      <c r="F924" s="2">
        <v>10</v>
      </c>
      <c r="H924" s="2">
        <v>390</v>
      </c>
      <c r="I924" s="2" t="inlineStr">
        <is>
          <t>$</t>
        </is>
      </c>
      <c r="J924" s="2">
        <f>HYPERLINK("https://app.astro.lead-studio.pro/product/fbf1c638-55e2-4c81-ae07-34a2b4e50f3f")</f>
      </c>
    </row>
    <row r="925" spans="1:10" customHeight="0">
      <c r="A925" s="2" t="inlineStr">
        <is>
          <t>Блоки питания для серверов</t>
        </is>
      </c>
      <c r="B925" s="2" t="inlineStr">
        <is>
          <t>FSP</t>
        </is>
      </c>
      <c r="C925" s="2" t="inlineStr">
        <is>
          <t>132-21200-0502A0</t>
        </is>
      </c>
      <c r="D925" s="2" t="inlineStr">
        <is>
          <t>Блок питания Chenbro 132-21200-0502A0 PSU,REDUNDANT 1+1,CRPS,1200W,FULL RANGE,P24:350/P8:300/P8:400MM,80PLUS(PLATINUM),W/PMBUS,ACTIVE PFC,FSP1200-50FS(62368),RM23824e013,REV.A0,FSP {8}</t>
        </is>
      </c>
      <c r="E925" s="2">
        <v>3</v>
      </c>
      <c r="F925" s="2">
        <v>3</v>
      </c>
      <c r="H925" s="2">
        <v>615</v>
      </c>
      <c r="I925" s="2" t="inlineStr">
        <is>
          <t>$</t>
        </is>
      </c>
      <c r="J925" s="2">
        <f>HYPERLINK("https://app.astro.lead-studio.pro/product/d887896f-2ef1-441b-afc4-357cbc529122")</f>
      </c>
    </row>
    <row r="926" spans="1:10" customHeight="0">
      <c r="A926" s="2" t="inlineStr">
        <is>
          <t>Блоки питания для серверов</t>
        </is>
      </c>
      <c r="B926" s="2" t="inlineStr">
        <is>
          <t>ACBEL</t>
        </is>
      </c>
      <c r="C926" s="2" t="inlineStr">
        <is>
          <t>132-42000-0701A0</t>
        </is>
      </c>
      <c r="D926" s="2" t="inlineStr">
        <is>
          <t>Блок питания Chenbro 132-42000-0701A0 PSU,MODULE,CRPS,2000W,FULL,ACTIVE PFC,R1CA2202B-P00A(62368),RM43699e024,REV.A0,ACBEL,AC INLET C14 TPYE</t>
        </is>
      </c>
      <c r="E926" s="2">
        <v>10</v>
      </c>
      <c r="F926" s="2">
        <v>10</v>
      </c>
      <c r="H926" s="2">
        <v>422</v>
      </c>
      <c r="I926" s="2" t="inlineStr">
        <is>
          <t>$</t>
        </is>
      </c>
      <c r="J926" s="2">
        <f>HYPERLINK("https://app.astro.lead-studio.pro/product/be8b35f3-5f08-46ca-bff3-b82d2ec06dab")</f>
      </c>
    </row>
    <row r="927" spans="1:10" customHeight="0">
      <c r="A927" s="2" t="inlineStr">
        <is>
          <t>Блоки питания для серверов</t>
        </is>
      </c>
      <c r="B927" s="2" t="inlineStr">
        <is>
          <t>ACD</t>
        </is>
      </c>
      <c r="C927" s="2" t="inlineStr">
        <is>
          <t>2R1200 (99RADV1200I1170114)</t>
        </is>
      </c>
      <c r="D927" s="2" t="inlineStr">
        <is>
          <t>Блок питания ACD 2R1200 1200W, 2U Redundant (ШВГ=77.5*84*225мм), 80PLUS Gold (92+), 2x4cm fan, Dual Power (100;240Vac, 140;380Vdc) (ASPower R2A-DV1200-N) {4}</t>
        </is>
      </c>
      <c r="E927" s="2">
        <v>50</v>
      </c>
      <c r="F927" s="2">
        <v>50</v>
      </c>
      <c r="H927" s="2">
        <v>464</v>
      </c>
      <c r="I927" s="2" t="inlineStr">
        <is>
          <t>$</t>
        </is>
      </c>
      <c r="J927" s="2">
        <f>HYPERLINK("https://app.astro.lead-studio.pro/product/cb4bb525-acc2-439a-afca-b0ded593870b")</f>
      </c>
    </row>
    <row r="928" spans="1:10" customHeight="0">
      <c r="A928" s="2" t="inlineStr">
        <is>
          <t>Блоки питания для серверов</t>
        </is>
      </c>
      <c r="B928" s="2" t="inlineStr">
        <is>
          <t>ACD</t>
        </is>
      </c>
      <c r="C928" s="2" t="inlineStr">
        <is>
          <t>2R1600</t>
        </is>
      </c>
      <c r="D928" s="2" t="inlineStr">
        <is>
          <t>Блок питания ACD 2R1600 1600W, 2U Redundant (ШВГ=76*83*275мм), 80PLUS Gold (92+), 2x4cm fan, Dual Power (100;240Vac, 140;380Vdc) (ASPower R2A-D1600-A)</t>
        </is>
      </c>
      <c r="E928" s="2">
        <v>50</v>
      </c>
      <c r="F928" s="2">
        <v>50</v>
      </c>
      <c r="H928" s="2">
        <v>632</v>
      </c>
      <c r="I928" s="2" t="inlineStr">
        <is>
          <t>$</t>
        </is>
      </c>
      <c r="J928" s="2">
        <f>HYPERLINK("https://app.astro.lead-studio.pro/product/fff3cd33-dda5-4ccf-888e-2d343880b697")</f>
      </c>
    </row>
    <row r="929" spans="1:10" customHeight="0">
      <c r="A929" s="2" t="inlineStr">
        <is>
          <t>Блоки питания для серверов</t>
        </is>
      </c>
      <c r="B929" s="2" t="inlineStr">
        <is>
          <t>ACD</t>
        </is>
      </c>
      <c r="C929" s="2" t="inlineStr">
        <is>
          <t>2R2000</t>
        </is>
      </c>
      <c r="D929" s="2" t="inlineStr">
        <is>
          <t>Блок питания ACD 2R2000 2000W, 2U Redundant</t>
        </is>
      </c>
      <c r="E929" s="2">
        <v>50</v>
      </c>
      <c r="F929" s="2">
        <v>50</v>
      </c>
      <c r="H929" s="2">
        <v>630</v>
      </c>
      <c r="I929" s="2" t="inlineStr">
        <is>
          <t>$</t>
        </is>
      </c>
      <c r="J929" s="2">
        <f>HYPERLINK("https://app.astro.lead-studio.pro/product/2f09f8ad-2c03-4e2f-ad79-be0899c40cbf")</f>
      </c>
    </row>
    <row r="930" spans="1:10" customHeight="0">
      <c r="A930" s="2" t="inlineStr">
        <is>
          <t>Блоки питания для серверов</t>
        </is>
      </c>
      <c r="B930" s="2" t="inlineStr">
        <is>
          <t>FSP</t>
        </is>
      </c>
      <c r="C930" s="2" t="inlineStr">
        <is>
          <t>384-23804-3108A0</t>
        </is>
      </c>
      <c r="D930" s="2" t="inlineStr">
        <is>
          <t>Блок питания 384-23804-3108A0 AS'Y COMPONENT,RM23812,SINGLE,PSU,REDUNDANT,1+1,800W,FSP800 -50FS(62368)</t>
        </is>
      </c>
      <c r="E930" s="2">
        <v>10</v>
      </c>
      <c r="F930" s="2">
        <v>10</v>
      </c>
      <c r="H930" s="2">
        <v>427</v>
      </c>
      <c r="I930" s="2" t="inlineStr">
        <is>
          <t>$</t>
        </is>
      </c>
      <c r="J930" s="2">
        <f>HYPERLINK("https://app.astro.lead-studio.pro/product/55773bb9-b63e-4445-9aeb-320646fe7ceb")</f>
      </c>
    </row>
    <row r="931" spans="1:10" customHeight="0">
      <c r="A931" s="2" t="inlineStr">
        <is>
          <t>Блоки питания для серверов</t>
        </is>
      </c>
      <c r="B931" s="2" t="inlineStr">
        <is>
          <t>FSP</t>
        </is>
      </c>
      <c r="C931" s="2" t="inlineStr">
        <is>
          <t>384-23804-3112A0</t>
        </is>
      </c>
      <c r="D931" s="2" t="inlineStr">
        <is>
          <t>Блок питания FSP 384-23804-3112A0 AS'Y COMPONENT,RM23812,SINGLE,PSU MODULE,FSP(62368),“PSU MODULE(62368)” PCB,PDB,W/HOUSING,P24:350/P8:300/P8:400MM,W/PMBUS,FSP800-50FS,800W,FSP</t>
        </is>
      </c>
      <c r="E931" s="2">
        <v>10</v>
      </c>
      <c r="F931" s="2">
        <v>10</v>
      </c>
      <c r="H931" s="2">
        <v>513</v>
      </c>
      <c r="I931" s="2" t="inlineStr">
        <is>
          <t>$</t>
        </is>
      </c>
      <c r="J931" s="2">
        <f>HYPERLINK("https://app.astro.lead-studio.pro/product/7bdd6de0-293a-4057-9ff0-b503f3ad09ad")</f>
      </c>
    </row>
    <row r="932" spans="1:10" customHeight="0">
      <c r="A932" s="2" t="inlineStr">
        <is>
          <t>Блоки питания для серверов</t>
        </is>
      </c>
      <c r="B932" s="2" t="inlineStr">
        <is>
          <t>ACBEL</t>
        </is>
      </c>
      <c r="C932" s="2" t="inlineStr">
        <is>
          <t>384-PSU00008B0A0</t>
        </is>
      </c>
      <c r="D932" s="2" t="inlineStr">
        <is>
          <t>Блок питания 384-PSU00008B0A0 PSU,SINGLE,800W,POWER MODULE,R1CA2801A(FSE052-000G),W/PFC,FULL RANGE,ACBEL,RM23712e006A</t>
        </is>
      </c>
      <c r="E932" s="2">
        <v>50</v>
      </c>
      <c r="F932" s="2">
        <v>50</v>
      </c>
      <c r="H932" s="2">
        <v>411</v>
      </c>
      <c r="I932" s="2" t="inlineStr">
        <is>
          <t>$</t>
        </is>
      </c>
      <c r="J932" s="2">
        <f>HYPERLINK("https://app.astro.lead-studio.pro/product/251c5dc7-99bc-4aba-a332-ff7560ede319")</f>
      </c>
    </row>
    <row r="933" spans="1:10" customHeight="0">
      <c r="A933" s="2" t="inlineStr">
        <is>
          <t>Блоки питания для серверов</t>
        </is>
      </c>
      <c r="B933" s="2" t="inlineStr">
        <is>
          <t>ACBEL</t>
        </is>
      </c>
      <c r="C933" s="2" t="inlineStr">
        <is>
          <t>384-PSU00024B0A0</t>
        </is>
      </c>
      <c r="D933" s="2" t="inlineStr">
        <is>
          <t>Блок питания Chenbro 384-PSU00024B0A, AS'Y COMPONENT,RM42300,PSU MODULE,BULK,5PCS/CTN,16CTN/PALLET,FOR FSL025, 7HCG(800W),ACBEL</t>
        </is>
      </c>
      <c r="E933" s="2">
        <v>100</v>
      </c>
      <c r="F933" s="2">
        <v>100</v>
      </c>
      <c r="H933" s="2">
        <v>397</v>
      </c>
      <c r="I933" s="2" t="inlineStr">
        <is>
          <t>$</t>
        </is>
      </c>
      <c r="J933" s="2">
        <f>HYPERLINK("https://app.astro.lead-studio.pro/product/95af7eba-f157-43ab-8bd2-12a906978f52")</f>
      </c>
    </row>
    <row r="934" spans="1:10" customHeight="0">
      <c r="A934" s="2" t="inlineStr">
        <is>
          <t>Блоки питания для серверов</t>
        </is>
      </c>
      <c r="B934" s="2" t="inlineStr">
        <is>
          <t>ACBEL</t>
        </is>
      </c>
      <c r="C934" s="2" t="inlineStr">
        <is>
          <t>384-PSU00038B0A0</t>
        </is>
      </c>
      <c r="D934" s="2" t="inlineStr">
        <is>
          <t>Блок питания AcBel Polytech Inc 384-PSU00038B0A0 PSU CRPS Acbel R1CA2801A(FSE052-000G) 1+1 with brackets for RM413</t>
        </is>
      </c>
      <c r="E934" s="2">
        <v>100</v>
      </c>
      <c r="F934" s="2">
        <v>100</v>
      </c>
      <c r="H934" s="2">
        <v>396</v>
      </c>
      <c r="I934" s="2" t="inlineStr">
        <is>
          <t>$</t>
        </is>
      </c>
      <c r="J934" s="2">
        <f>HYPERLINK("https://app.astro.lead-studio.pro/product/cc1b8099-47f5-44af-a090-18eca82409dc")</f>
      </c>
    </row>
    <row r="935" spans="1:10" customHeight="0">
      <c r="A935" s="2" t="inlineStr">
        <is>
          <t>Блоки питания для серверов</t>
        </is>
      </c>
      <c r="B935" s="2" t="inlineStr">
        <is>
          <t>Advantech</t>
        </is>
      </c>
      <c r="C935" s="2" t="inlineStr">
        <is>
          <t>96PS-A500WPS2-2</t>
        </is>
      </c>
      <c r="D935" s="2" t="inlineStr">
        <is>
          <t>Блок питания Advantech 96PS-A500WPS2-2 AC-to-DC 100-240V 500W Switch Power Supply PS2 ATX with PFC</t>
        </is>
      </c>
      <c r="E935" s="2">
        <v>1</v>
      </c>
      <c r="F935" s="2">
        <v>1</v>
      </c>
      <c r="H935" s="2">
        <v>342</v>
      </c>
      <c r="I935" s="2" t="inlineStr">
        <is>
          <t>$</t>
        </is>
      </c>
      <c r="J935" s="2">
        <f>HYPERLINK("https://app.astro.lead-studio.pro/product/9cc86311-9bd4-4736-bdfc-49455d895d67")</f>
      </c>
    </row>
    <row r="936" spans="1:10" customHeight="0">
      <c r="A936" s="2" t="inlineStr">
        <is>
          <t>Блоки питания для серверов</t>
        </is>
      </c>
      <c r="B936" s="2" t="inlineStr">
        <is>
          <t>Advantech</t>
        </is>
      </c>
      <c r="C936" s="2" t="inlineStr">
        <is>
          <t>96PS-A860WPS2</t>
        </is>
      </c>
      <c r="D936" s="2" t="inlineStr">
        <is>
          <t>Блок питания Advantech 96PS-A860WPS2 (PSM-5860V) AC to DC 100-240V 860W Switch Power Supply PS2 ATX with PFC</t>
        </is>
      </c>
      <c r="E936" s="2">
        <v>1</v>
      </c>
      <c r="F936" s="2">
        <v>1</v>
      </c>
      <c r="H936" s="2">
        <v>477</v>
      </c>
      <c r="I936" s="2" t="inlineStr">
        <is>
          <t>$</t>
        </is>
      </c>
      <c r="J936" s="2">
        <f>HYPERLINK("https://app.astro.lead-studio.pro/product/050bdf82-246f-4948-bc81-f792fef8b77f")</f>
      </c>
    </row>
    <row r="937" spans="1:10" customHeight="0">
      <c r="A937" s="2" t="inlineStr">
        <is>
          <t>Блоки питания для серверов</t>
        </is>
      </c>
      <c r="B937" s="2" t="inlineStr">
        <is>
          <t>FSP</t>
        </is>
      </c>
      <c r="C937" s="2" t="inlineStr">
        <is>
          <t>9PA16A0808</t>
        </is>
      </c>
      <c r="D937" s="2" t="inlineStr">
        <is>
          <t>Блок питания FSP FSP1600-20FM 1600W, CRPS Redundant module, AC Full
Range Input, DC 12V &amp; 12Vsb Output,
PMBUS 1.2, 80+ Platinum</t>
        </is>
      </c>
      <c r="E937" s="2">
        <v>3</v>
      </c>
      <c r="F937" s="2">
        <v>3</v>
      </c>
      <c r="H937" s="2">
        <v>363</v>
      </c>
      <c r="I937" s="2" t="inlineStr">
        <is>
          <t>$</t>
        </is>
      </c>
      <c r="J937" s="2">
        <f>HYPERLINK("https://app.astro.lead-studio.pro/product/aec6ac6d-0adc-4425-8d28-1f01c3035d97")</f>
      </c>
    </row>
    <row r="938" spans="1:10" customHeight="0">
      <c r="A938" s="2" t="inlineStr">
        <is>
          <t>Блоки питания для серверов</t>
        </is>
      </c>
      <c r="B938" s="2" t="inlineStr">
        <is>
          <t>FSP</t>
        </is>
      </c>
      <c r="C938" s="2" t="inlineStr">
        <is>
          <t>9PR12A0306</t>
        </is>
      </c>
      <c r="D938" s="2" t="inlineStr">
        <is>
          <t>Блок питания FSP FSP1200-50FS 1200W, 2U Redundant (ШВГ=76*84*250мм),  80Plus Platinum , WideRande AC Input: 90V~264V, HVDC input: 180V~310V, RTL {6}</t>
        </is>
      </c>
      <c r="E938" s="2">
        <v>10</v>
      </c>
      <c r="F938" s="2">
        <v>10</v>
      </c>
      <c r="H938" s="2">
        <v>695</v>
      </c>
      <c r="I938" s="2" t="inlineStr">
        <is>
          <t>$</t>
        </is>
      </c>
      <c r="J938" s="2">
        <f>HYPERLINK("https://app.astro.lead-studio.pro/product/c76633ed-144d-419d-847a-81e698d9bcbb")</f>
      </c>
    </row>
    <row r="939" spans="1:10" customHeight="0">
      <c r="A939" s="2" t="inlineStr">
        <is>
          <t>Блоки питания для серверов</t>
        </is>
      </c>
      <c r="B939" s="2" t="inlineStr">
        <is>
          <t>FSP</t>
        </is>
      </c>
      <c r="C939" s="2" t="inlineStr">
        <is>
          <t>9PR5000803</t>
        </is>
      </c>
      <c r="D939" s="2" t="inlineStr">
        <is>
          <t>Блок питания FSP FSP500-50RAB 500W, Mini Redundant (ШВГ=150*86*190мм), 80PLUS GOLD, A-PFC, PMBUS1.2, Стандарт IEC 62368, (9PR5000803), (аналог FSP500-70RGHBB1) OEM</t>
        </is>
      </c>
      <c r="E939" s="2">
        <v>10</v>
      </c>
      <c r="F939" s="2">
        <v>10</v>
      </c>
      <c r="H939" s="2">
        <v>492</v>
      </c>
      <c r="I939" s="2" t="inlineStr">
        <is>
          <t>$</t>
        </is>
      </c>
      <c r="J939" s="2">
        <f>HYPERLINK("https://app.astro.lead-studio.pro/product/0e5f8202-6268-4769-a9a2-85e4ae7836c2")</f>
      </c>
    </row>
    <row r="940" spans="1:10" customHeight="0">
      <c r="A940" s="2" t="inlineStr">
        <is>
          <t>Блоки питания для серверов</t>
        </is>
      </c>
      <c r="B940" s="2" t="inlineStr">
        <is>
          <t>FSP</t>
        </is>
      </c>
      <c r="C940" s="2" t="inlineStr">
        <is>
          <t>9PR5500203</t>
        </is>
      </c>
      <c r="D940" s="2" t="inlineStr">
        <is>
          <t>Блок питания FSP FSP550-50FS для корпуса Chenbro</t>
        </is>
      </c>
      <c r="E940" s="2">
        <v>10</v>
      </c>
      <c r="F940" s="2">
        <v>10</v>
      </c>
      <c r="H940" s="2">
        <v>478</v>
      </c>
      <c r="I940" s="2" t="inlineStr">
        <is>
          <t>$</t>
        </is>
      </c>
      <c r="J940" s="2">
        <f>HYPERLINK("https://app.astro.lead-studio.pro/product/44b60f04-8b86-47c3-95af-ffaaabeb58d2")</f>
      </c>
    </row>
    <row r="941" spans="1:10" customHeight="0">
      <c r="A941" s="2" t="inlineStr">
        <is>
          <t>Блоки питания для серверов</t>
        </is>
      </c>
      <c r="B941" s="2" t="inlineStr">
        <is>
          <t>FSP</t>
        </is>
      </c>
      <c r="C941" s="2" t="inlineStr">
        <is>
          <t>9PR8000408</t>
        </is>
      </c>
      <c r="D941" s="2" t="inlineStr">
        <is>
          <t>Блок питания FSP FSP800-50FS 800W 2U Redundant (1+1) (ШВГ=76*83,8*250мм),  80 Plus Platinum, Meet CRPS Standard, Meet PMBus 1.2, Working temperature: 0°C to 55°C</t>
        </is>
      </c>
      <c r="E941" s="2">
        <v>10</v>
      </c>
      <c r="F941" s="2">
        <v>10</v>
      </c>
      <c r="H941" s="2">
        <v>416</v>
      </c>
      <c r="I941" s="2" t="inlineStr">
        <is>
          <t>$</t>
        </is>
      </c>
      <c r="J941" s="2">
        <f>HYPERLINK("https://app.astro.lead-studio.pro/product/a5cfccbc-d3ef-45b5-9598-266b1b4b6424")</f>
      </c>
    </row>
    <row r="942" spans="1:10" customHeight="0">
      <c r="A942" s="2" t="inlineStr">
        <is>
          <t>Блоки питания для серверов</t>
        </is>
      </c>
      <c r="B942" s="2" t="inlineStr">
        <is>
          <t>3Y</t>
        </is>
      </c>
      <c r="C942" s="2" t="inlineStr">
        <is>
          <t>9YR1500109</t>
        </is>
      </c>
      <c r="D942" s="2" t="inlineStr">
        <is>
          <t>Блок питания 3Y YH5151-1EB01R, 150W, 1U Redundant, ШВГ =  (106*41,5*205), 80 PLUS Silver </t>
        </is>
      </c>
      <c r="E942" s="2">
        <v>10</v>
      </c>
      <c r="F942" s="2">
        <v>10</v>
      </c>
      <c r="H942" s="2">
        <v>327</v>
      </c>
      <c r="I942" s="2" t="inlineStr">
        <is>
          <t>$</t>
        </is>
      </c>
      <c r="J942" s="2">
        <f>HYPERLINK("https://app.astro.lead-studio.pro/product/31b0a04e-cdea-49a2-ba9f-203c9b5df1de")</f>
      </c>
    </row>
    <row r="943" spans="1:10" customHeight="0">
      <c r="A943" s="2" t="inlineStr">
        <is>
          <t>Блоки питания для серверов</t>
        </is>
      </c>
      <c r="B943" s="2" t="inlineStr">
        <is>
          <t>3Y</t>
        </is>
      </c>
      <c r="C943" s="2" t="inlineStr">
        <is>
          <t>9YR4502108</t>
        </is>
      </c>
      <c r="D943" s="2" t="inlineStr">
        <is>
          <t>Блок питания 3Y YVIC0450AH-5A12P20, 450W, 1U Redundant, ШВГ =  (106*40,5*220), 80 PLUS Platinum , 90-264VAC</t>
        </is>
      </c>
      <c r="E943" s="2">
        <v>7</v>
      </c>
      <c r="F943" s="2">
        <v>7</v>
      </c>
      <c r="H943" s="2">
        <v>613</v>
      </c>
      <c r="I943" s="2" t="inlineStr">
        <is>
          <t>$</t>
        </is>
      </c>
      <c r="J943" s="2">
        <f>HYPERLINK("https://app.astro.lead-studio.pro/product/6b3ce0ab-ac8e-4038-b93d-76066160263e")</f>
      </c>
    </row>
    <row r="944" spans="1:10" customHeight="0">
      <c r="A944" s="2" t="inlineStr">
        <is>
          <t>Блоки питания для серверов</t>
        </is>
      </c>
      <c r="B944" s="2" t="inlineStr">
        <is>
          <t>Compuware</t>
        </is>
      </c>
      <c r="C944" s="2" t="inlineStr">
        <is>
          <t>CPR-2021-2M11</t>
        </is>
      </c>
      <c r="D944" s="2" t="inlineStr">
        <is>
          <t>Блок питания Compuware CPR-2021-2M11 2000W CRPS (ШВГ=73.5x40x265 mm) 80PLUS Platinum, OEM {10}</t>
        </is>
      </c>
      <c r="E944" s="2">
        <v>6</v>
      </c>
      <c r="F944" s="2">
        <v>6</v>
      </c>
      <c r="H944" s="2">
        <v>447</v>
      </c>
      <c r="I944" s="2" t="inlineStr">
        <is>
          <t>$</t>
        </is>
      </c>
      <c r="J944" s="2">
        <f>HYPERLINK("https://app.astro.lead-studio.pro/product/365d73e8-9363-4653-bafe-25ef720a6aab")</f>
      </c>
    </row>
    <row r="945" spans="1:10" customHeight="0">
      <c r="A945" s="2" t="inlineStr">
        <is>
          <t>Блоки питания для серверов</t>
        </is>
      </c>
      <c r="B945" s="2" t="inlineStr">
        <is>
          <t>D-Link</t>
        </is>
      </c>
      <c r="C945" s="2" t="inlineStr">
        <is>
          <t>DXS-PWR700AC/A1A</t>
        </is>
      </c>
      <c r="D945" s="2" t="inlineStr">
        <is>
          <t>Блок питания D-Link DXS-PWR700AC/A1A Источник питания AC (770 Вт) с вентилятором для коммутаторов DXS-3610</t>
        </is>
      </c>
      <c r="E945" s="2">
        <v>2</v>
      </c>
      <c r="F945" s="2">
        <v>2</v>
      </c>
      <c r="H945" s="2">
        <v>746</v>
      </c>
      <c r="I945" s="2" t="inlineStr">
        <is>
          <t>$</t>
        </is>
      </c>
      <c r="J945" s="2">
        <f>HYPERLINK("https://app.astro.lead-studio.pro/product/f0f56fb1-2051-4c10-8801-5143c82d5ea2")</f>
      </c>
    </row>
    <row r="946" spans="1:10" customHeight="0">
      <c r="A946" s="2" t="inlineStr">
        <is>
          <t>Блоки питания для серверов</t>
        </is>
      </c>
      <c r="B946" s="2" t="inlineStr">
        <is>
          <t>Gospower</t>
        </is>
      </c>
      <c r="C946" s="2" t="inlineStr">
        <is>
          <t>G1232-1300WNA</t>
        </is>
      </c>
      <c r="D946" s="2" t="inlineStr">
        <is>
          <t>Блок питания серверный Gospower G1232-1300WNA   CRPS 1300W Redundant module (ШВГ=  73.5*40*185мм),  DC/DC, .  80+ Golg, диапазон рабочих температур 0°C ... +50°C,  Vin = 48В, Vout:  +12V и +12Vsb. OEM </t>
        </is>
      </c>
      <c r="E946" s="2">
        <v>6</v>
      </c>
      <c r="F946" s="2">
        <v>6</v>
      </c>
      <c r="H946" s="2">
        <v>392</v>
      </c>
      <c r="I946" s="2" t="inlineStr">
        <is>
          <t>$</t>
        </is>
      </c>
      <c r="J946" s="2">
        <f>HYPERLINK("https://app.astro.lead-studio.pro/product/ea46dc54-c6b7-4a26-b04f-5943f31dbdca")</f>
      </c>
    </row>
    <row r="947" spans="1:10" customHeight="0">
      <c r="A947" s="2" t="inlineStr">
        <is>
          <t>Блоки питания для серверов</t>
        </is>
      </c>
      <c r="B947" s="2" t="inlineStr">
        <is>
          <t>Gospower</t>
        </is>
      </c>
      <c r="C947" s="2" t="inlineStr">
        <is>
          <t>G1302-2200WNA</t>
        </is>
      </c>
      <c r="D947" s="2" t="inlineStr">
        <is>
          <t>Блок питания серверный Gospower G1302-2200WNA CRPS 2200W Redundant module (ШВГ=  73.5*40*185мм), ), 80+ Titanium, рабочая температура 0 °C…+50 °C, AC/HVDC в DC Vout:  +12В и +12В sb, OEM </t>
        </is>
      </c>
      <c r="E947" s="2">
        <v>2</v>
      </c>
      <c r="F947" s="2">
        <v>2</v>
      </c>
      <c r="H947" s="2">
        <v>469</v>
      </c>
      <c r="I947" s="2" t="inlineStr">
        <is>
          <t>$</t>
        </is>
      </c>
      <c r="J947" s="2">
        <f>HYPERLINK("https://app.astro.lead-studio.pro/product/6597fd51-2a7b-4a41-9b0e-3761ce33f850")</f>
      </c>
    </row>
    <row r="948" spans="1:10" customHeight="0">
      <c r="A948" s="2" t="inlineStr">
        <is>
          <t>Блоки питания для серверов</t>
        </is>
      </c>
      <c r="B948" s="2" t="inlineStr">
        <is>
          <t>Gospower</t>
        </is>
      </c>
      <c r="C948" s="2" t="inlineStr">
        <is>
          <t>G1358-2000WNA</t>
        </is>
      </c>
      <c r="D948" s="2" t="inlineStr">
        <is>
          <t>Блок питания серверный Gospower G1358-2000WNA CRPS 2000W Redundant module (ШВГ=  73.5*39*185мм), 80+ Titanium, Input 90-264Vac or HVDC (180-300V), OEM </t>
        </is>
      </c>
      <c r="E948" s="2">
        <v>28</v>
      </c>
      <c r="F948" s="2">
        <v>28</v>
      </c>
      <c r="H948" s="2">
        <v>346</v>
      </c>
      <c r="I948" s="2" t="inlineStr">
        <is>
          <t>$</t>
        </is>
      </c>
      <c r="J948" s="2">
        <f>HYPERLINK("https://app.astro.lead-studio.pro/product/b41e79f1-b2e8-46f1-8c28-547c62f867bd")</f>
      </c>
    </row>
    <row r="949" spans="1:10" customHeight="0">
      <c r="A949" s="2" t="inlineStr">
        <is>
          <t>Блоки питания для серверов</t>
        </is>
      </c>
      <c r="B949" s="2" t="inlineStr">
        <is>
          <t>Gooxi</t>
        </is>
      </c>
      <c r="C949" s="2" t="inlineStr">
        <is>
          <t>GC1300PMP</t>
        </is>
      </c>
      <c r="D949" s="2" t="inlineStr">
        <is>
          <t>Блок питания Gooxi 1300W CRPS, 185х73,5х39mm; rated AC voltage 100V-240V, support 240V DC</t>
        </is>
      </c>
      <c r="E949" s="2">
        <v>9</v>
      </c>
      <c r="F949" s="2">
        <v>9</v>
      </c>
      <c r="H949" s="2">
        <v>578</v>
      </c>
      <c r="I949" s="2" t="inlineStr">
        <is>
          <t>$</t>
        </is>
      </c>
      <c r="J949" s="2">
        <f>HYPERLINK("https://app.astro.lead-studio.pro/product/a8d2e9d8-bf5d-441d-a52e-c508c97daade")</f>
      </c>
    </row>
    <row r="950" spans="1:10" customHeight="0">
      <c r="A950" s="2" t="inlineStr">
        <is>
          <t>Блоки питания для серверов</t>
        </is>
      </c>
      <c r="B950" s="2" t="inlineStr">
        <is>
          <t>Gooxi</t>
        </is>
      </c>
      <c r="C950" s="2" t="inlineStr">
        <is>
          <t>GC1600PMP</t>
        </is>
      </c>
      <c r="D950" s="2" t="inlineStr">
        <is>
          <t>Блок питания Gooxi 1600W CRPS, 185х73,5х39mm; rated AC voltage 100V-240V, support 240V DC</t>
        </is>
      </c>
      <c r="E950" s="2">
        <v>2</v>
      </c>
      <c r="F950" s="2">
        <v>2</v>
      </c>
      <c r="H950" s="2">
        <v>614</v>
      </c>
      <c r="I950" s="2" t="inlineStr">
        <is>
          <t>$</t>
        </is>
      </c>
      <c r="J950" s="2">
        <f>HYPERLINK("https://app.astro.lead-studio.pro/product/0edf8496-36b9-4813-b295-e14fcf0f5d32")</f>
      </c>
    </row>
    <row r="951" spans="1:10" customHeight="0">
      <c r="A951" s="2" t="inlineStr">
        <is>
          <t>Блоки питания для серверов</t>
        </is>
      </c>
      <c r="B951" s="2" t="inlineStr">
        <is>
          <t>EMACS</t>
        </is>
      </c>
      <c r="C951" s="2" t="inlineStr">
        <is>
          <t>M1K2-5C01V4V</t>
        </is>
      </c>
      <c r="D951" s="2" t="inlineStr">
        <is>
          <t>Блок питания EMACS (Zippy) M1K2-5C01V4V, 1200W, 2U Redundant, (ШВГ=54,5*84,6*425), 80PLUS Gold, I2C/PMBUS1.1, (P/N:B00M1K2C0V001) Brown Box</t>
        </is>
      </c>
      <c r="E951" s="2">
        <v>5</v>
      </c>
      <c r="F951" s="2">
        <v>5</v>
      </c>
      <c r="H951" s="2">
        <v>995</v>
      </c>
      <c r="I951" s="2" t="inlineStr">
        <is>
          <t>$</t>
        </is>
      </c>
      <c r="J951" s="2">
        <f>HYPERLINK("https://app.astro.lead-studio.pro/product/6c3f3a95-031d-47b3-9424-543cc503bafb")</f>
      </c>
    </row>
    <row r="952" spans="1:10" customHeight="0">
      <c r="A952" s="2" t="inlineStr">
        <is>
          <t>Блоки питания для серверов</t>
        </is>
      </c>
      <c r="B952" s="2" t="inlineStr">
        <is>
          <t>EMACS</t>
        </is>
      </c>
      <c r="C952" s="2" t="inlineStr">
        <is>
          <t>M1V2-5800V4V</t>
        </is>
      </c>
      <c r="D952" s="2" t="inlineStr">
        <is>
          <t>Блок питания EMACS (Zippy) M1V2-5800V4V, 800W, 2U Redundant, (ШВГ=54,4*84,6*400), 80PLUS Gold, I2C/PMBUS1.1, (P/N:B00M1V280V021) Brown Box</t>
        </is>
      </c>
      <c r="E952" s="2">
        <v>5</v>
      </c>
      <c r="F952" s="2">
        <v>5</v>
      </c>
      <c r="H952" s="2">
        <v>712</v>
      </c>
      <c r="I952" s="2" t="inlineStr">
        <is>
          <t>$</t>
        </is>
      </c>
      <c r="J952" s="2">
        <f>HYPERLINK("https://app.astro.lead-studio.pro/product/be1b677e-4585-4b81-a7c3-a4e6048c5432")</f>
      </c>
    </row>
    <row r="953" spans="1:10" customHeight="0">
      <c r="A953" s="2" t="inlineStr">
        <is>
          <t>Блоки питания для серверов</t>
        </is>
      </c>
      <c r="B953" s="2" t="inlineStr">
        <is>
          <t>EMACS</t>
        </is>
      </c>
      <c r="C953" s="2" t="inlineStr">
        <is>
          <t>M1Z2-5500V3V</t>
        </is>
      </c>
      <c r="D953" s="2" t="inlineStr">
        <is>
          <t>Блок питания EMACS (Zippy) M1Z2-5500V3V  2U Redundant PSU 500W  RM217 (32H250002-006)</t>
        </is>
      </c>
      <c r="E953" s="2">
        <v>5</v>
      </c>
      <c r="F953" s="2">
        <v>5</v>
      </c>
      <c r="H953" s="2">
        <v>624</v>
      </c>
      <c r="I953" s="2" t="inlineStr">
        <is>
          <t>$</t>
        </is>
      </c>
      <c r="J953" s="2">
        <f>HYPERLINK("https://app.astro.lead-studio.pro/product/23d5151c-20ed-4939-b8bb-b33f3094c2e8")</f>
      </c>
    </row>
    <row r="954" spans="1:10" customHeight="0">
      <c r="A954" s="2" t="inlineStr">
        <is>
          <t>Блоки питания для серверов</t>
        </is>
      </c>
      <c r="B954" s="2" t="inlineStr">
        <is>
          <t>ACD</t>
        </is>
      </c>
      <c r="C954" s="2" t="inlineStr">
        <is>
          <t>MR0550 (99RAMV0550I1170110)</t>
        </is>
      </c>
      <c r="D954" s="2" t="inlineStr">
        <is>
          <t>Блок питания ACD MR0550 550W, Mini Redundant (ШВГ=150*86*185 mm), 80PLUS Silver (88+), 2x4cm fan (ASPower R2A-MV0550)</t>
        </is>
      </c>
      <c r="E954" s="2">
        <v>50</v>
      </c>
      <c r="F954" s="2">
        <v>50</v>
      </c>
      <c r="H954" s="2">
        <v>352</v>
      </c>
      <c r="I954" s="2" t="inlineStr">
        <is>
          <t>$</t>
        </is>
      </c>
      <c r="J954" s="2">
        <f>HYPERLINK("https://app.astro.lead-studio.pro/product/002fbd7b-5378-4bee-b2c2-55c4cbf3a9e5")</f>
      </c>
    </row>
    <row r="955" spans="1:10" customHeight="0">
      <c r="A955" s="2" t="inlineStr">
        <is>
          <t>Блоки питания для серверов</t>
        </is>
      </c>
      <c r="B955" s="2" t="inlineStr">
        <is>
          <t>ACD</t>
        </is>
      </c>
      <c r="C955" s="2" t="inlineStr">
        <is>
          <t>MR0700 (99RAMV0700I1170111)</t>
        </is>
      </c>
      <c r="D955" s="2" t="inlineStr">
        <is>
          <t>Блок питания ACD ACD MR0700 700W, Mini Redundant (ШВГ=150*86*185 mm), 80PLUS Silver (88+), 2x4cm fan (аналог FSP600-60MRA(S), ASPower R2A-MV0700), OEM {4}</t>
        </is>
      </c>
      <c r="E955" s="2">
        <v>50</v>
      </c>
      <c r="F955" s="2">
        <v>50</v>
      </c>
      <c r="H955" s="2">
        <v>363</v>
      </c>
      <c r="I955" s="2" t="inlineStr">
        <is>
          <t>$</t>
        </is>
      </c>
      <c r="J955" s="2">
        <f>HYPERLINK("https://app.astro.lead-studio.pro/product/5a713277-7b0c-4fb2-b42a-a810440a5853")</f>
      </c>
    </row>
    <row r="956" spans="1:10" customHeight="0">
      <c r="A956" s="2" t="inlineStr">
        <is>
          <t>Блоки питания для серверов</t>
        </is>
      </c>
      <c r="B956" s="2" t="inlineStr">
        <is>
          <t>EMACS</t>
        </is>
      </c>
      <c r="C956" s="2" t="inlineStr">
        <is>
          <t>MRG-5800V4V</t>
        </is>
      </c>
      <c r="D956" s="2" t="inlineStr">
        <is>
          <t>Блок питания EMACS (Zippy) MRG-5800V4V 800W MiniRedundant (ШВГ=150*86*200мм)  (P/N:B00MRG080V004)   {4}</t>
        </is>
      </c>
      <c r="E956" s="2">
        <v>5</v>
      </c>
      <c r="F956" s="2">
        <v>5</v>
      </c>
      <c r="H956" s="2">
        <v>839</v>
      </c>
      <c r="I956" s="2" t="inlineStr">
        <is>
          <t>$</t>
        </is>
      </c>
      <c r="J956" s="2">
        <f>HYPERLINK("https://app.astro.lead-studio.pro/product/b8ec241e-84ec-4365-8623-4423d3ed228f")</f>
      </c>
    </row>
    <row r="957" spans="1:10" customHeight="0">
      <c r="A957" s="2" t="inlineStr">
        <is>
          <t>Блоки питания для серверов</t>
        </is>
      </c>
      <c r="B957" s="2" t="inlineStr">
        <is>
          <t>EMACS</t>
        </is>
      </c>
      <c r="C957" s="2" t="inlineStr">
        <is>
          <t>MRG-6500P</t>
        </is>
      </c>
      <c r="D957" s="2" t="inlineStr">
        <is>
          <t>Блок питания EMACS (Zippy) MRG-6500P 500W, MiniRedundant (1+1) PS2 (ШВГ=150*86*200) (P/N:B001190072)  {4}</t>
        </is>
      </c>
      <c r="E957" s="2">
        <v>5</v>
      </c>
      <c r="F957" s="2">
        <v>5</v>
      </c>
      <c r="H957" s="2">
        <v>796</v>
      </c>
      <c r="I957" s="2" t="inlineStr">
        <is>
          <t>$</t>
        </is>
      </c>
      <c r="J957" s="2">
        <f>HYPERLINK("https://app.astro.lead-studio.pro/product/eb6e5677-05f1-43fd-9429-389474db125d")</f>
      </c>
    </row>
    <row r="958" spans="1:10" customHeight="0">
      <c r="A958" s="2" t="inlineStr">
        <is>
          <t>Блоки питания для серверов</t>
        </is>
      </c>
      <c r="B958" s="2" t="inlineStr">
        <is>
          <t>EMACS</t>
        </is>
      </c>
      <c r="C958" s="2" t="inlineStr">
        <is>
          <t>MRT-6300P-R</t>
        </is>
      </c>
      <c r="D958" s="2" t="inlineStr">
        <is>
          <t>Блок питания EMACS (Zippy) MRT-6300P-R   Power Module </t>
        </is>
      </c>
      <c r="E958" s="2">
        <v>3</v>
      </c>
      <c r="F958" s="2">
        <v>3</v>
      </c>
      <c r="H958" s="2">
        <v>356</v>
      </c>
      <c r="I958" s="2" t="inlineStr">
        <is>
          <t>$</t>
        </is>
      </c>
      <c r="J958" s="2">
        <f>HYPERLINK("https://app.astro.lead-studio.pro/product/e47d8596-4a11-4952-b85e-a7a994dc0491")</f>
      </c>
    </row>
    <row r="959" spans="1:10" customHeight="0">
      <c r="A959" s="2" t="inlineStr">
        <is>
          <t>Блоки питания для серверов</t>
        </is>
      </c>
      <c r="B959" s="2" t="inlineStr">
        <is>
          <t>EMACS</t>
        </is>
      </c>
      <c r="C959" s="2" t="inlineStr">
        <is>
          <t>MRW-6400P</t>
        </is>
      </c>
      <c r="D959" s="2" t="inlineStr">
        <is>
          <t>Блок питания EMACS (Zippy) MRW-6400P, 400W, Mini Redundant 4U (PS2), (ШВГ=150*86*185)  (B000480001) Brown Box {4}</t>
        </is>
      </c>
      <c r="E959" s="2">
        <v>5</v>
      </c>
      <c r="F959" s="2">
        <v>5</v>
      </c>
      <c r="H959" s="2">
        <v>552</v>
      </c>
      <c r="I959" s="2" t="inlineStr">
        <is>
          <t>$</t>
        </is>
      </c>
      <c r="J959" s="2">
        <f>HYPERLINK("https://app.astro.lead-studio.pro/product/17dd6f87-7829-4898-b28e-655ed9556284")</f>
      </c>
    </row>
    <row r="960" spans="1:10" customHeight="0">
      <c r="A960" s="2" t="inlineStr">
        <is>
          <t>Блоки питания для серверов</t>
        </is>
      </c>
      <c r="B960" s="2" t="inlineStr">
        <is>
          <t>EMACS</t>
        </is>
      </c>
      <c r="C960" s="2" t="inlineStr">
        <is>
          <t>MRW-6420P</t>
        </is>
      </c>
      <c r="D960" s="2" t="inlineStr">
        <is>
          <t>Блок питания EMACS (Zippy) MRW-6420P, 420W, Mini Redundant 4U (PS2), (ШВГ=150*86*185), (B000480056) Brown Box {4}</t>
        </is>
      </c>
      <c r="E960" s="2">
        <v>5</v>
      </c>
      <c r="F960" s="2">
        <v>5</v>
      </c>
      <c r="H960" s="2">
        <v>581</v>
      </c>
      <c r="I960" s="2" t="inlineStr">
        <is>
          <t>$</t>
        </is>
      </c>
      <c r="J960" s="2">
        <f>HYPERLINK("https://app.astro.lead-studio.pro/product/3f76176d-ee58-4d3e-9196-5aa91ab6aa89")</f>
      </c>
    </row>
    <row r="961" spans="1:10" customHeight="0">
      <c r="A961" s="2" t="inlineStr">
        <is>
          <t>Блоки питания для серверов</t>
        </is>
      </c>
      <c r="B961" s="2" t="inlineStr">
        <is>
          <t>EMACS</t>
        </is>
      </c>
      <c r="C961" s="2" t="inlineStr">
        <is>
          <t>MRW-6420P-R</t>
        </is>
      </c>
      <c r="D961" s="2" t="inlineStr">
        <is>
          <t>Блок питания EMACS (Zippy) MRW-6420P-R   Power Module </t>
        </is>
      </c>
      <c r="E961" s="2">
        <v>2</v>
      </c>
      <c r="F961" s="2">
        <v>2</v>
      </c>
      <c r="H961" s="2">
        <v>330</v>
      </c>
      <c r="I961" s="2" t="inlineStr">
        <is>
          <t>$</t>
        </is>
      </c>
      <c r="J961" s="2">
        <f>HYPERLINK("https://app.astro.lead-studio.pro/product/2407eaa0-0f23-4491-ac4b-94eccd5fcff3")</f>
      </c>
    </row>
    <row r="962" spans="1:10" customHeight="0">
      <c r="A962" s="2" t="inlineStr">
        <is>
          <t>Блоки питания для серверов</t>
        </is>
      </c>
      <c r="B962" s="2" t="inlineStr">
        <is>
          <t>Advantech</t>
        </is>
      </c>
      <c r="C962" s="2" t="inlineStr">
        <is>
          <t>PS8-350FATX-GB</t>
        </is>
      </c>
      <c r="D962" s="2" t="inlineStr">
        <is>
          <t>Блок питания Advantech PS8-350FATX-GB (FSP350-50FCB) Advantech 350W, FLEX ATX (ШВГ=81,5*40,5*150мм), 80+ Gold, FSP AC to DC 100-240V</t>
        </is>
      </c>
      <c r="E962" s="2">
        <v>4</v>
      </c>
      <c r="F962" s="2">
        <v>4</v>
      </c>
      <c r="H962" s="2">
        <v>341</v>
      </c>
      <c r="I962" s="2" t="inlineStr">
        <is>
          <t>$</t>
        </is>
      </c>
      <c r="J962" s="2">
        <f>HYPERLINK("https://app.astro.lead-studio.pro/product/5a9b7c5f-29e2-4842-be4a-7f79cf7356e4")</f>
      </c>
    </row>
    <row r="963" spans="1:10" customHeight="0">
      <c r="A963" s="2" t="inlineStr">
        <is>
          <t>Блоки питания для серверов</t>
        </is>
      </c>
      <c r="B963" s="2" t="inlineStr">
        <is>
          <t>EMACS</t>
        </is>
      </c>
      <c r="C963" s="2" t="inlineStr">
        <is>
          <t>PSM-5860V</t>
        </is>
      </c>
      <c r="D963" s="2" t="inlineStr">
        <is>
          <t>Блок питания EMACS (Zippy) PSM-5860V, 860W, PS2 (4U) (ШВГ=150*86*160), Single,  EPS</t>
        </is>
      </c>
      <c r="E963" s="2">
        <v>5</v>
      </c>
      <c r="F963" s="2">
        <v>5</v>
      </c>
      <c r="H963" s="2">
        <v>449</v>
      </c>
      <c r="I963" s="2" t="inlineStr">
        <is>
          <t>$</t>
        </is>
      </c>
      <c r="J963" s="2">
        <f>HYPERLINK("https://app.astro.lead-studio.pro/product/a7a273d2-ec38-4a3c-906f-f2af511136f4")</f>
      </c>
    </row>
    <row r="964" spans="1:10" customHeight="0">
      <c r="A964" s="2" t="inlineStr">
        <is>
          <t>Блоки питания для серверов</t>
        </is>
      </c>
      <c r="B964" s="2" t="inlineStr">
        <is>
          <t>EMACS</t>
        </is>
      </c>
      <c r="C964" s="2" t="inlineStr">
        <is>
          <t>PSM-6600P</t>
        </is>
      </c>
      <c r="D964" s="2" t="inlineStr">
        <is>
          <t>Блок питания EMACS (Zippy) PSM-6600P,   600W, PS2 (4U), (ШВГ=150*86*160mm), Single,  OEM {8}</t>
        </is>
      </c>
      <c r="E964" s="2">
        <v>3</v>
      </c>
      <c r="F964" s="2">
        <v>3</v>
      </c>
      <c r="H964" s="2">
        <v>367</v>
      </c>
      <c r="I964" s="2" t="inlineStr">
        <is>
          <t>$</t>
        </is>
      </c>
      <c r="J964" s="2">
        <f>HYPERLINK("https://app.astro.lead-studio.pro/product/2fd50848-ef99-4f52-83b6-cf7430655158")</f>
      </c>
    </row>
    <row r="965" spans="1:10" customHeight="0">
      <c r="A965" s="2" t="inlineStr">
        <is>
          <t>Блоки питания для серверов</t>
        </is>
      </c>
      <c r="B965" s="2" t="inlineStr">
        <is>
          <t>SuperMicro</t>
        </is>
      </c>
      <c r="C965" s="2" t="inlineStr">
        <is>
          <t>PWS-1K02A-1R</t>
        </is>
      </c>
      <c r="D965" s="2" t="inlineStr">
        <is>
          <t>Блок питания SuperMicro PWS-1K02A-1R</t>
        </is>
      </c>
      <c r="E965" s="2">
        <v>5</v>
      </c>
      <c r="F965" s="2">
        <v>5</v>
      </c>
      <c r="H965" s="2">
        <v>450</v>
      </c>
      <c r="I965" s="2" t="inlineStr">
        <is>
          <t>$</t>
        </is>
      </c>
      <c r="J965" s="2">
        <f>HYPERLINK("https://app.astro.lead-studio.pro/product/de7d2ee0-bfcf-42fb-984f-c9885b587a33")</f>
      </c>
    </row>
    <row r="966" spans="1:10" customHeight="0">
      <c r="A966" s="2" t="inlineStr">
        <is>
          <t>Блоки питания для серверов</t>
        </is>
      </c>
      <c r="B966" s="2" t="inlineStr">
        <is>
          <t>SuperMicro</t>
        </is>
      </c>
      <c r="C966" s="2" t="inlineStr">
        <is>
          <t>PWS-1K11P-1R</t>
        </is>
      </c>
      <c r="D966" s="2" t="inlineStr">
        <is>
          <t>Блок питания SuperMicro PWS-1K11P-1R 850/1010W 1U -48V DC Power Supply</t>
        </is>
      </c>
      <c r="E966" s="2">
        <v>5</v>
      </c>
      <c r="F966" s="2">
        <v>5</v>
      </c>
      <c r="H966" s="2">
        <v>526</v>
      </c>
      <c r="I966" s="2" t="inlineStr">
        <is>
          <t>$</t>
        </is>
      </c>
      <c r="J966" s="2">
        <f>HYPERLINK("https://app.astro.lead-studio.pro/product/b295ba05-5848-4d8a-aeed-192c6674c4cc")</f>
      </c>
    </row>
    <row r="967" spans="1:10" customHeight="0">
      <c r="A967" s="2" t="inlineStr">
        <is>
          <t>Блоки питания для серверов</t>
        </is>
      </c>
      <c r="B967" s="2" t="inlineStr">
        <is>
          <t>SuperMicro</t>
        </is>
      </c>
      <c r="C967" s="2" t="inlineStr">
        <is>
          <t>PWS-1K28D-240</t>
        </is>
      </c>
      <c r="D967" s="2" t="inlineStr">
        <is>
          <t>Блок питания SuperMicro PWS-1K28D-240 - Power supply (plug-in module) - AC 200-240 V - 1280 Watt - 1U</t>
        </is>
      </c>
      <c r="E967" s="2">
        <v>5</v>
      </c>
      <c r="F967" s="2">
        <v>5</v>
      </c>
      <c r="H967" s="2">
        <v>321</v>
      </c>
      <c r="I967" s="2" t="inlineStr">
        <is>
          <t>$</t>
        </is>
      </c>
      <c r="J967" s="2">
        <f>HYPERLINK("https://app.astro.lead-studio.pro/product/20b4e7f7-817b-458e-ad71-76ce9ce4a18e")</f>
      </c>
    </row>
    <row r="968" spans="1:10" customHeight="0">
      <c r="A968" s="2" t="inlineStr">
        <is>
          <t>Блоки питания для серверов</t>
        </is>
      </c>
      <c r="B968" s="2" t="inlineStr">
        <is>
          <t>SuperMicro</t>
        </is>
      </c>
      <c r="C968" s="2" t="inlineStr">
        <is>
          <t>PWS-1K28P-SQ</t>
        </is>
      </c>
      <c r="D968" s="2" t="inlineStr">
        <is>
          <t>Блок питания SuperMicro PWS-1K28P-SQ</t>
        </is>
      </c>
      <c r="E968" s="2">
        <v>1</v>
      </c>
      <c r="F968" s="2">
        <v>1</v>
      </c>
      <c r="H968" s="2">
        <v>501</v>
      </c>
      <c r="I968" s="2" t="inlineStr">
        <is>
          <t>$</t>
        </is>
      </c>
      <c r="J968" s="2">
        <f>HYPERLINK("https://app.astro.lead-studio.pro/product/0ad7cc9b-3b49-437d-b2d9-e5f53757f962")</f>
      </c>
    </row>
    <row r="969" spans="1:10" customHeight="0">
      <c r="A969" s="2" t="inlineStr">
        <is>
          <t>Блоки питания для серверов</t>
        </is>
      </c>
      <c r="B969" s="2" t="inlineStr">
        <is>
          <t>SuperMicro</t>
        </is>
      </c>
      <c r="C969" s="2" t="inlineStr">
        <is>
          <t>PWS-1K62P-1R</t>
        </is>
      </c>
      <c r="D969" s="2" t="inlineStr">
        <is>
          <t>Блок питания SuperMicro PWS-1K62P-1R</t>
        </is>
      </c>
      <c r="E969" s="2">
        <v>5</v>
      </c>
      <c r="F969" s="2">
        <v>5</v>
      </c>
      <c r="H969" s="2">
        <v>629</v>
      </c>
      <c r="I969" s="2" t="inlineStr">
        <is>
          <t>$</t>
        </is>
      </c>
      <c r="J969" s="2">
        <f>HYPERLINK("https://app.astro.lead-studio.pro/product/ce2d6ec7-ed23-4061-b5fe-e4eef1dff1ce")</f>
      </c>
    </row>
    <row r="970" spans="1:10" customHeight="0">
      <c r="A970" s="2" t="inlineStr">
        <is>
          <t>Блоки питания для серверов</t>
        </is>
      </c>
      <c r="B970" s="2" t="inlineStr">
        <is>
          <t>SuperMicro</t>
        </is>
      </c>
      <c r="C970" s="2" t="inlineStr">
        <is>
          <t>PWS-2K03D-1R</t>
        </is>
      </c>
      <c r="D970" s="2" t="inlineStr">
        <is>
          <t>Блок питания SuperMicro PWS-2K03D-1R</t>
        </is>
      </c>
      <c r="E970" s="2">
        <v>5</v>
      </c>
      <c r="F970" s="2">
        <v>5</v>
      </c>
      <c r="H970" s="2">
        <v>521</v>
      </c>
      <c r="I970" s="2" t="inlineStr">
        <is>
          <t>$</t>
        </is>
      </c>
      <c r="J970" s="2">
        <f>HYPERLINK("https://app.astro.lead-studio.pro/product/3d73f5c6-7115-4941-b866-fad8c153b6dc")</f>
      </c>
    </row>
    <row r="971" spans="1:10" customHeight="0">
      <c r="A971" s="2" t="inlineStr">
        <is>
          <t>Блоки питания для серверов</t>
        </is>
      </c>
      <c r="B971" s="2" t="inlineStr">
        <is>
          <t>SuperMicro</t>
        </is>
      </c>
      <c r="C971" s="2" t="inlineStr">
        <is>
          <t>PWS-2K04A-1R</t>
        </is>
      </c>
      <c r="D971" s="2" t="inlineStr">
        <is>
          <t>Блок питания SuperMicro PWS-2K04A-1R 2000W 1U Redundant</t>
        </is>
      </c>
      <c r="E971" s="2">
        <v>1</v>
      </c>
      <c r="F971" s="2">
        <v>1</v>
      </c>
      <c r="H971" s="2">
        <v>569</v>
      </c>
      <c r="I971" s="2" t="inlineStr">
        <is>
          <t>$</t>
        </is>
      </c>
      <c r="J971" s="2">
        <f>HYPERLINK("https://app.astro.lead-studio.pro/product/ee9cfea4-8182-451e-9cdc-c3eb198a7af6")</f>
      </c>
    </row>
    <row r="972" spans="1:10" customHeight="0">
      <c r="A972" s="2" t="inlineStr">
        <is>
          <t>Блоки питания для серверов</t>
        </is>
      </c>
      <c r="B972" s="2" t="inlineStr">
        <is>
          <t>SuperMicro</t>
        </is>
      </c>
      <c r="C972" s="2" t="inlineStr">
        <is>
          <t>PWS-2K08A-1R</t>
        </is>
      </c>
      <c r="D972" s="2" t="inlineStr">
        <is>
          <t>Блок питания SuperMicro 1U 2000W Redundant Power Supply (PWS-2K08A-1R) (PWS-2K08A-1R)</t>
        </is>
      </c>
      <c r="E972" s="2">
        <v>9</v>
      </c>
      <c r="F972" s="2">
        <v>9</v>
      </c>
      <c r="H972" s="2">
        <v>930</v>
      </c>
      <c r="I972" s="2" t="inlineStr">
        <is>
          <t>$</t>
        </is>
      </c>
      <c r="J972" s="2">
        <f>HYPERLINK("https://app.astro.lead-studio.pro/product/724bf196-42dc-4ebb-80f2-7cd0f3d92c47")</f>
      </c>
    </row>
    <row r="973" spans="1:10" customHeight="0">
      <c r="A973" s="2" t="inlineStr">
        <is>
          <t>Блоки питания для серверов</t>
        </is>
      </c>
      <c r="B973" s="2" t="inlineStr">
        <is>
          <t>SuperMicro</t>
        </is>
      </c>
      <c r="C973" s="2" t="inlineStr">
        <is>
          <t>PWS-2K20A-1R</t>
        </is>
      </c>
      <c r="D973" s="2" t="inlineStr">
        <is>
          <t>Блок питания SuperMicro PWS-2K20A-1R 1U 2200W Redundant, Titanium, 76(W) X 40(H) X 336(L) mm</t>
        </is>
      </c>
      <c r="E973" s="2">
        <v>5</v>
      </c>
      <c r="F973" s="2">
        <v>5</v>
      </c>
      <c r="H973" s="2">
        <v>755</v>
      </c>
      <c r="I973" s="2" t="inlineStr">
        <is>
          <t>$</t>
        </is>
      </c>
      <c r="J973" s="2">
        <f>HYPERLINK("https://app.astro.lead-studio.pro/product/8f8dbe07-487a-4cdf-baae-13211a051200")</f>
      </c>
    </row>
    <row r="974" spans="1:10" customHeight="0">
      <c r="A974" s="2" t="inlineStr">
        <is>
          <t>Блоки питания для серверов</t>
        </is>
      </c>
      <c r="B974" s="2" t="inlineStr">
        <is>
          <t>SuperMicro</t>
        </is>
      </c>
      <c r="C974" s="2" t="inlineStr">
        <is>
          <t>PWS-2K21A-BR</t>
        </is>
      </c>
      <c r="D974" s="2" t="inlineStr">
        <is>
          <t>Блок питания SuperMicro PWS-2K21A-BR 2U 2200W Redundant</t>
        </is>
      </c>
      <c r="E974" s="2">
        <v>2</v>
      </c>
      <c r="F974" s="2">
        <v>2</v>
      </c>
      <c r="H974" s="2">
        <v>917</v>
      </c>
      <c r="I974" s="2" t="inlineStr">
        <is>
          <t>$</t>
        </is>
      </c>
      <c r="J974" s="2">
        <f>HYPERLINK("https://app.astro.lead-studio.pro/product/d2f1cf81-8789-46e6-a5a9-8488396fd590")</f>
      </c>
    </row>
    <row r="975" spans="1:10" customHeight="0">
      <c r="A975" s="2" t="inlineStr">
        <is>
          <t>Блоки питания для серверов</t>
        </is>
      </c>
      <c r="B975" s="2" t="inlineStr">
        <is>
          <t>SuperMicro</t>
        </is>
      </c>
      <c r="C975" s="2" t="inlineStr">
        <is>
          <t>PWS-504P-1R</t>
        </is>
      </c>
      <c r="D975" s="2" t="inlineStr">
        <is>
          <t>Блок питания SuperMicro PWS-504P-1R Hot-Swap 500 Вт</t>
        </is>
      </c>
      <c r="E975" s="2">
        <v>4</v>
      </c>
      <c r="F975" s="2">
        <v>4</v>
      </c>
      <c r="H975" s="2">
        <v>389</v>
      </c>
      <c r="I975" s="2" t="inlineStr">
        <is>
          <t>$</t>
        </is>
      </c>
      <c r="J975" s="2">
        <f>HYPERLINK("https://app.astro.lead-studio.pro/product/9935fb9f-ebf1-4e51-89f2-b7ab29808bae")</f>
      </c>
    </row>
    <row r="976" spans="1:10" customHeight="0">
      <c r="A976" s="2" t="inlineStr">
        <is>
          <t>Блоки питания для серверов</t>
        </is>
      </c>
      <c r="B976" s="2" t="inlineStr">
        <is>
          <t>EMACS</t>
        </is>
      </c>
      <c r="C976" s="2" t="inlineStr">
        <is>
          <t>R1S2-5300V4V</t>
        </is>
      </c>
      <c r="D976" s="2" t="inlineStr">
        <is>
          <t>Блок питания EMACS (Zippy) R1S2-5300V4V,   300W, 2U Redundant (ШВГ=85*84*207), 80Plus Bronze</t>
        </is>
      </c>
      <c r="E976" s="2">
        <v>5</v>
      </c>
      <c r="F976" s="2">
        <v>5</v>
      </c>
      <c r="H976" s="2">
        <v>380</v>
      </c>
      <c r="I976" s="2" t="inlineStr">
        <is>
          <t>$</t>
        </is>
      </c>
      <c r="J976" s="2">
        <f>HYPERLINK("https://app.astro.lead-studio.pro/product/a27a61f4-872b-48e7-b500-9ffc02391d76")</f>
      </c>
    </row>
    <row r="977" spans="1:10" customHeight="0">
      <c r="A977" s="2" t="inlineStr">
        <is>
          <t>Блоки питания для серверов</t>
        </is>
      </c>
      <c r="B977" s="2" t="inlineStr">
        <is>
          <t>Qdion</t>
        </is>
      </c>
      <c r="C977" s="2" t="inlineStr">
        <is>
          <t>R2A-MV0400</t>
        </is>
      </c>
      <c r="D977" s="2" t="inlineStr">
        <is>
          <t>Блок питания Qdion R2A-MV0400  400W Mini Redundant (ШВГ=150*86*185mm), 80+ Silver, Oper.temp 0C~50C (ASPower) RTL {1}</t>
        </is>
      </c>
      <c r="E977" s="2">
        <v>7</v>
      </c>
      <c r="F977" s="2">
        <v>7</v>
      </c>
      <c r="H977" s="2">
        <v>357</v>
      </c>
      <c r="I977" s="2" t="inlineStr">
        <is>
          <t>$</t>
        </is>
      </c>
      <c r="J977" s="2">
        <f>HYPERLINK("https://app.astro.lead-studio.pro/product/558c7b90-1fbf-43ad-b25c-7e1a4eade42f")</f>
      </c>
    </row>
    <row r="978" spans="1:10" customHeight="0">
      <c r="A978" s="2" t="inlineStr">
        <is>
          <t>Блоки питания для серверов</t>
        </is>
      </c>
      <c r="B978" s="2" t="inlineStr">
        <is>
          <t>EMACS</t>
        </is>
      </c>
      <c r="C978" s="2" t="inlineStr">
        <is>
          <t>R2G-5420V4V</t>
        </is>
      </c>
      <c r="D978" s="2" t="inlineStr">
        <is>
          <t>Блок питания EMACS (Zippy) R2G-5420V4V 420W  2U Redundant (ШВГ=101x82x276 mm) (B00R2G042V020) {4}</t>
        </is>
      </c>
      <c r="E978" s="2">
        <v>5</v>
      </c>
      <c r="F978" s="2">
        <v>5</v>
      </c>
      <c r="H978" s="2">
        <v>454</v>
      </c>
      <c r="I978" s="2" t="inlineStr">
        <is>
          <t>$</t>
        </is>
      </c>
      <c r="J978" s="2">
        <f>HYPERLINK("https://app.astro.lead-studio.pro/product/29c13193-e851-41bc-bf92-df005c9b3f06")</f>
      </c>
    </row>
    <row r="979" spans="1:10" customHeight="0">
      <c r="A979" s="2" t="inlineStr">
        <is>
          <t>Блоки питания для серверов</t>
        </is>
      </c>
      <c r="B979" s="2" t="inlineStr">
        <is>
          <t>EMACS</t>
        </is>
      </c>
      <c r="C979" s="2" t="inlineStr">
        <is>
          <t>R2G-5600V4V</t>
        </is>
      </c>
      <c r="D979" s="2" t="inlineStr">
        <is>
          <t>Блок питания EMACS (Zippy) R2G-5600V4V,   600W, 2U Redundant, (ШВГ=101*82*276), I2C/PMBUS1.1, (P/N:B00R2G060V001) Brown Box</t>
        </is>
      </c>
      <c r="E979" s="2">
        <v>5</v>
      </c>
      <c r="F979" s="2">
        <v>5</v>
      </c>
      <c r="H979" s="2">
        <v>560</v>
      </c>
      <c r="I979" s="2" t="inlineStr">
        <is>
          <t>$</t>
        </is>
      </c>
      <c r="J979" s="2">
        <f>HYPERLINK("https://app.astro.lead-studio.pro/product/4dc6541b-5f40-4a28-91ef-e57f0988038f")</f>
      </c>
    </row>
    <row r="980" spans="1:10" customHeight="0">
      <c r="A980" s="2" t="inlineStr">
        <is>
          <t>Блоки питания для серверов</t>
        </is>
      </c>
      <c r="B980" s="2" t="inlineStr">
        <is>
          <t>Advantech</t>
        </is>
      </c>
      <c r="C980" s="2" t="inlineStr">
        <is>
          <t>RPS8-350ATX-XE</t>
        </is>
      </c>
      <c r="D980" s="2" t="inlineStr">
        <is>
          <t>Блок питания Advantech RPS8-350ATX-XE (FSP350-50MRA(S)) Advantech 350W, MiniRedundant (ШВГ=150*84*190), 80+ Gold, AC to DC 100-240V with PFC</t>
        </is>
      </c>
      <c r="E980" s="2">
        <v>3</v>
      </c>
      <c r="F980" s="2">
        <v>3</v>
      </c>
      <c r="H980" s="2">
        <v>418</v>
      </c>
      <c r="I980" s="2" t="inlineStr">
        <is>
          <t>$</t>
        </is>
      </c>
      <c r="J980" s="2">
        <f>HYPERLINK("https://app.astro.lead-studio.pro/product/416a526d-b2a6-4fbc-b4a9-f28b06340c30")</f>
      </c>
    </row>
    <row r="981" spans="1:10" customHeight="0">
      <c r="A981" s="2" t="inlineStr">
        <is>
          <t>Блоки питания для серверов</t>
        </is>
      </c>
      <c r="B981" s="2" t="inlineStr">
        <is>
          <t>Advantech</t>
        </is>
      </c>
      <c r="C981" s="2" t="inlineStr">
        <is>
          <t>RPS8-500ATX-GB</t>
        </is>
      </c>
      <c r="D981" s="2" t="inlineStr">
        <is>
          <t>Блок питания Advantech RPS8-500ATX-GB (FSP500-60MRB(S)) Advantech 500W, MiniRedundant (ШВГ=150*84*190), 80+ Gold, AC to DC 100-240V with PFC</t>
        </is>
      </c>
      <c r="E981" s="2">
        <v>1</v>
      </c>
      <c r="F981" s="2">
        <v>1</v>
      </c>
      <c r="H981" s="2">
        <v>939</v>
      </c>
      <c r="I981" s="2" t="inlineStr">
        <is>
          <t>$</t>
        </is>
      </c>
      <c r="J981" s="2">
        <f>HYPERLINK("https://app.astro.lead-studio.pro/product/1a12cf3d-02b1-4b4e-937c-54dbb8e4b057")</f>
      </c>
    </row>
    <row r="982" spans="1:10" customHeight="0">
      <c r="A982" s="2" t="inlineStr">
        <is>
          <t>Блоки питания для серверов</t>
        </is>
      </c>
      <c r="B982" s="2" t="inlineStr">
        <is>
          <t>Advantech</t>
        </is>
      </c>
      <c r="C982" s="2" t="inlineStr">
        <is>
          <t>RPS8-500U2-XE</t>
        </is>
      </c>
      <c r="D982" s="2" t="inlineStr">
        <is>
          <t>Блок питания Advantech RPS8-500U2-XE (AC-120 B) 500W, 2U Redundant (1+1) (ШВГ=85*86.6*217), 80+ Bronze (Delta AC-120 B)</t>
        </is>
      </c>
      <c r="E982" s="2">
        <v>7</v>
      </c>
      <c r="F982" s="2">
        <v>7</v>
      </c>
      <c r="H982" s="2">
        <v>739</v>
      </c>
      <c r="I982" s="2" t="inlineStr">
        <is>
          <t>$</t>
        </is>
      </c>
      <c r="J982" s="2">
        <f>HYPERLINK("https://app.astro.lead-studio.pro/product/1205cf3a-504e-41da-bf69-0204c071787e")</f>
      </c>
    </row>
    <row r="983" spans="1:10" customHeight="0">
      <c r="A983" s="2" t="inlineStr">
        <is>
          <t>Блоки питания для серверов</t>
        </is>
      </c>
      <c r="B983" s="2" t="inlineStr">
        <is>
          <t>3Y</t>
        </is>
      </c>
      <c r="C983" s="2" t="inlineStr">
        <is>
          <t>YH5701-1EA13R</t>
        </is>
      </c>
      <c r="D983" s="2" t="inlineStr">
        <is>
          <t>Блок питания 3Y YH5701-1EA13R, 700W, 2U Redundant AC Full Range, DC ATX, 80+ Platinum, 1+1 Vertical (Bracket Set for Chenbro RM23608 included), PMBUS 1.2</t>
        </is>
      </c>
      <c r="E983" s="2">
        <v>10</v>
      </c>
      <c r="F983" s="2">
        <v>10</v>
      </c>
      <c r="H983" s="2">
        <v>536</v>
      </c>
      <c r="I983" s="2" t="inlineStr">
        <is>
          <t>$</t>
        </is>
      </c>
      <c r="J983" s="2">
        <f>HYPERLINK("https://app.astro.lead-studio.pro/product/720250c9-4ed0-4509-892c-32f42cb26137")</f>
      </c>
    </row>
    <row r="984" spans="1:10" customHeight="0">
      <c r="A984" s="2" t="inlineStr">
        <is>
          <t>Видеокарты (для серверов)</t>
        </is>
      </c>
      <c r="B984" s="2" t="inlineStr">
        <is>
          <t>NVIDIA</t>
        </is>
      </c>
      <c r="C984" s="2" t="inlineStr">
        <is>
          <t>900-11001-0108-000</t>
        </is>
      </c>
      <c r="D984" s="2" t="inlineStr">
        <is>
          <t>Видеокарта NVIDIA NVIDIA CMP170 HX (900-11001-0108-000) OEM</t>
        </is>
      </c>
      <c r="E984" s="2">
        <v>1</v>
      </c>
      <c r="F984" s="2">
        <v>1</v>
      </c>
      <c r="H984" s="2">
        <v>4699</v>
      </c>
      <c r="I984" s="2" t="inlineStr">
        <is>
          <t>$</t>
        </is>
      </c>
      <c r="J984" s="2">
        <f>HYPERLINK("https://app.astro.lead-studio.pro/product/f0c23a5f-7098-4188-b4d2-9fc3fe39c9be")</f>
      </c>
    </row>
    <row r="985" spans="1:10" customHeight="0">
      <c r="A985" s="2" t="inlineStr">
        <is>
          <t>Видеокарты (для серверов)</t>
        </is>
      </c>
      <c r="B985" s="2" t="inlineStr">
        <is>
          <t>NVIDIA</t>
        </is>
      </c>
      <c r="C985" s="2" t="inlineStr">
        <is>
          <t>900-5G132-2200-000||ATX</t>
        </is>
      </c>
      <c r="D985" s="2" t="inlineStr">
        <is>
          <t>Видеокарта NVIDIA RTX A5000 (with ATX Brackets)</t>
        </is>
      </c>
      <c r="E985" s="2">
        <v>1</v>
      </c>
      <c r="F985" s="2">
        <v>1</v>
      </c>
      <c r="H985" s="2">
        <v>2696</v>
      </c>
      <c r="I985" s="2" t="inlineStr">
        <is>
          <t>$</t>
        </is>
      </c>
      <c r="J985" s="2">
        <f>HYPERLINK("https://app.astro.lead-studio.pro/product/f7cd8c64-d182-467e-bd3b-04b974c60a95")</f>
      </c>
    </row>
    <row r="986" spans="1:10" customHeight="0">
      <c r="A986" s="2" t="inlineStr">
        <is>
          <t>Видеокарты (для серверов)</t>
        </is>
      </c>
      <c r="B986" s="2" t="inlineStr">
        <is>
          <t>NVIDIA</t>
        </is>
      </c>
      <c r="C986" s="2" t="inlineStr">
        <is>
          <t>900-5G172-2250-000||ATX</t>
        </is>
      </c>
      <c r="D986" s="2" t="inlineStr">
        <is>
          <t>Видеокарта Quadro T1000 4GB, bulk packing with ATX</t>
        </is>
      </c>
      <c r="E986" s="2">
        <v>1</v>
      </c>
      <c r="F986" s="2">
        <v>1</v>
      </c>
      <c r="H986" s="2">
        <v>392</v>
      </c>
      <c r="I986" s="2" t="inlineStr">
        <is>
          <t>$</t>
        </is>
      </c>
      <c r="J986" s="2">
        <f>HYPERLINK("https://app.astro.lead-studio.pro/product/976cea31-d311-4805-a705-9f7600c1a053")</f>
      </c>
    </row>
    <row r="987" spans="1:10" customHeight="0">
      <c r="A987" s="2" t="inlineStr">
        <is>
          <t>Видеокарты (для серверов)</t>
        </is>
      </c>
      <c r="B987" s="2" t="inlineStr">
        <is>
          <t>NVIDIA</t>
        </is>
      </c>
      <c r="C987" s="2" t="inlineStr">
        <is>
          <t>900-5G172-2270-000||A+L</t>
        </is>
      </c>
      <c r="D987" s="2" t="inlineStr">
        <is>
          <t>Видеокарта Nvidia T1000-8G with ATX and LP (ATX installed, LP included)</t>
        </is>
      </c>
      <c r="E987" s="2">
        <v>10</v>
      </c>
      <c r="F987" s="2">
        <v>10</v>
      </c>
      <c r="H987" s="2">
        <v>486</v>
      </c>
      <c r="I987" s="2" t="inlineStr">
        <is>
          <t>$</t>
        </is>
      </c>
      <c r="J987" s="2">
        <f>HYPERLINK("https://app.astro.lead-studio.pro/product/255756c4-2756-4ef6-9bad-aa8b9b45cfd0")</f>
      </c>
    </row>
    <row r="988" spans="1:10" customHeight="0">
      <c r="A988" s="2" t="inlineStr">
        <is>
          <t>Видеокарты (для серверов)</t>
        </is>
      </c>
      <c r="B988" s="2" t="inlineStr">
        <is>
          <t>NVIDIA</t>
        </is>
      </c>
      <c r="C988" s="2" t="inlineStr">
        <is>
          <t>900-5G172-2570-000||ATX</t>
        </is>
      </c>
      <c r="D988" s="2" t="inlineStr">
        <is>
          <t>Видеокарта Nvidia T1000 8G - BOX, brand new original with individual package - include ATX</t>
        </is>
      </c>
      <c r="E988" s="2">
        <v>10</v>
      </c>
      <c r="F988" s="2">
        <v>10</v>
      </c>
      <c r="H988" s="2">
        <v>506</v>
      </c>
      <c r="I988" s="2" t="inlineStr">
        <is>
          <t>$</t>
        </is>
      </c>
      <c r="J988" s="2">
        <f>HYPERLINK("https://app.astro.lead-studio.pro/product/4e2b1e75-1933-4c0d-a3bb-4f8386fb9b94")</f>
      </c>
    </row>
    <row r="989" spans="1:10" customHeight="0">
      <c r="A989" s="2" t="inlineStr">
        <is>
          <t>Видеокарты (для серверов)</t>
        </is>
      </c>
      <c r="B989" s="2" t="inlineStr">
        <is>
          <t>Dell</t>
        </is>
      </c>
      <c r="C989" s="2" t="inlineStr">
        <is>
          <t>900-5G190-0100-001</t>
        </is>
      </c>
      <c r="D989" s="2" t="inlineStr">
        <is>
          <t>Видеокарта Dell RTX A4000 GPU (900-5G190-0100-001)</t>
        </is>
      </c>
      <c r="E989" s="2">
        <v>1</v>
      </c>
      <c r="F989" s="2">
        <v>1</v>
      </c>
      <c r="H989" s="2">
        <v>1176</v>
      </c>
      <c r="I989" s="2" t="inlineStr">
        <is>
          <t>$</t>
        </is>
      </c>
      <c r="J989" s="2">
        <f>HYPERLINK("https://app.astro.lead-studio.pro/product/028dc1dd-2d7d-4936-9500-708e006b4f2a")</f>
      </c>
    </row>
    <row r="990" spans="1:10" customHeight="0">
      <c r="A990" s="2" t="inlineStr">
        <is>
          <t>Видеокарты (для серверов)</t>
        </is>
      </c>
      <c r="B990" s="2" t="inlineStr">
        <is>
          <t>NVIDIA</t>
        </is>
      </c>
      <c r="C990" s="2" t="inlineStr">
        <is>
          <t>900-5G192-2250-000||ATX+LP</t>
        </is>
      </c>
      <c r="D990" s="2" t="inlineStr">
        <is>
          <t>NVIDIA RTX A2000 Graphics Cards (ATX installed, LP included) 12GB, Bulk Packing, ASUS brand (900-5G192-2250-000)</t>
        </is>
      </c>
      <c r="E990" s="2">
        <v>10</v>
      </c>
      <c r="F990" s="2">
        <v>10</v>
      </c>
      <c r="H990" s="2">
        <v>685</v>
      </c>
      <c r="I990" s="2" t="inlineStr">
        <is>
          <t>$</t>
        </is>
      </c>
      <c r="J990" s="2">
        <f>HYPERLINK("https://app.astro.lead-studio.pro/product/49d49798-c191-4079-89b0-93596a44667c")</f>
      </c>
    </row>
    <row r="991" spans="1:10" customHeight="0">
      <c r="A991" s="2" t="inlineStr">
        <is>
          <t>Видеокарты (для серверов)</t>
        </is>
      </c>
      <c r="B991" s="2" t="inlineStr">
        <is>
          <t>NVIDIA</t>
        </is>
      </c>
      <c r="C991" s="2" t="inlineStr">
        <is>
          <t>900-5G611-2500-000||oem</t>
        </is>
      </c>
      <c r="D991" s="2" t="inlineStr">
        <is>
          <t>Видеокарта NVIDIA OEM QUADRO P6000 (PG611-B01) RTL {4} 900-5G611-2500-000</t>
        </is>
      </c>
      <c r="E991" s="2">
        <v>1</v>
      </c>
      <c r="F991" s="2">
        <v>1</v>
      </c>
      <c r="H991" s="2">
        <v>5809</v>
      </c>
      <c r="I991" s="2" t="inlineStr">
        <is>
          <t>$</t>
        </is>
      </c>
      <c r="J991" s="2">
        <f>HYPERLINK("https://app.astro.lead-studio.pro/product/74e14263-e8d8-45dc-b8f8-69eb0a94ddd8")</f>
      </c>
    </row>
    <row r="992" spans="1:10" customHeight="0">
      <c r="A992" s="2" t="inlineStr">
        <is>
          <t>Видеокарты (для серверов)</t>
        </is>
      </c>
      <c r="B992" s="2" t="inlineStr">
        <is>
          <t>Matrox</t>
        </is>
      </c>
      <c r="C992" s="2" t="inlineStr">
        <is>
          <t>MURAIPXO-D4LF</t>
        </is>
      </c>
      <c r="D992" s="2" t="inlineStr">
        <is>
          <t>Видеокарта Matrox MURAIPXO-D4LF MURA IPXO 4K IP DECODE/DISPLAY</t>
        </is>
      </c>
      <c r="E992" s="2">
        <v>1</v>
      </c>
      <c r="F992" s="2">
        <v>1</v>
      </c>
      <c r="H992" s="2">
        <v>1364</v>
      </c>
      <c r="I992" s="2" t="inlineStr">
        <is>
          <t>$</t>
        </is>
      </c>
      <c r="J992" s="2">
        <f>HYPERLINK("https://app.astro.lead-studio.pro/product/06b6eb4a-293f-448e-8330-6547fe7260c4")</f>
      </c>
    </row>
    <row r="993" spans="1:10" customHeight="0">
      <c r="A993" s="2" t="inlineStr">
        <is>
          <t>Видеокарты (для серверов)</t>
        </is>
      </c>
      <c r="B993" s="2" t="inlineStr">
        <is>
          <t>Matrox</t>
        </is>
      </c>
      <c r="C993" s="2" t="inlineStr">
        <is>
          <t>MURA-MPX40HF</t>
        </is>
      </c>
      <c r="D993" s="2" t="inlineStr">
        <is>
          <t>Видеокарта Matrox Видеокарта MURA-MPX40HF 4 outputs PCIe x16 (Gen2) 2GB1 64 Gbit/sec, SL-DVI 2048x1152 RGB (VGA) 2048x1536, operating temperature: 0 to 35 degrees</t>
        </is>
      </c>
      <c r="E993" s="2">
        <v>1</v>
      </c>
      <c r="F993" s="2">
        <v>1</v>
      </c>
      <c r="H993" s="2">
        <v>2149</v>
      </c>
      <c r="I993" s="2" t="inlineStr">
        <is>
          <t>$</t>
        </is>
      </c>
      <c r="J993" s="2">
        <f>HYPERLINK("https://app.astro.lead-studio.pro/product/7536bdff-5b7c-4c4b-bc14-0e70b5c033e6")</f>
      </c>
    </row>
    <row r="994" spans="1:10" customHeight="0">
      <c r="A994" s="2" t="inlineStr">
        <is>
          <t>Видеокарты (для серверов)</t>
        </is>
      </c>
      <c r="B994" s="2" t="inlineStr">
        <is>
          <t>Matrox</t>
        </is>
      </c>
      <c r="C994" s="2" t="inlineStr">
        <is>
          <t>MURA-MPX42HF</t>
        </is>
      </c>
      <c r="D994" s="2" t="inlineStr">
        <is>
          <t>Видеокарта Matrox Видеокарта MURA-MPX42HF 4 outputs, 2 inputs, PCIe x16 (Gen2) 2GB1 64 Gbit/sec output: RGB (VGA) 2048x1536 , input: SL-DVI 1920x1200, RGB (VGA) 2048x1536, Component (YPbPr) 1080i, S-Video NTSC/PAL/SECAM, Composite NTSC/PAL/SECAM</t>
        </is>
      </c>
      <c r="E994" s="2">
        <v>1</v>
      </c>
      <c r="F994" s="2">
        <v>1</v>
      </c>
      <c r="H994" s="2">
        <v>2521</v>
      </c>
      <c r="I994" s="2" t="inlineStr">
        <is>
          <t>$</t>
        </is>
      </c>
      <c r="J994" s="2">
        <f>HYPERLINK("https://app.astro.lead-studio.pro/product/0af1cfb9-b4b1-43f1-855d-6e4eacb5f5eb")</f>
      </c>
    </row>
    <row r="995" spans="1:10" customHeight="0">
      <c r="A995" s="2" t="inlineStr">
        <is>
          <t>Видеокарты (для серверов)</t>
        </is>
      </c>
      <c r="B995" s="2" t="inlineStr">
        <is>
          <t>Matrox</t>
        </is>
      </c>
      <c r="C995" s="2" t="inlineStr">
        <is>
          <t>MURA-MPX44HF</t>
        </is>
      </c>
      <c r="D995" s="2" t="inlineStr">
        <is>
          <t>Видеокарта Matrox Видеокарта Matrox (MURA-MPX44HF) 4 outputs, 4 inputs PCIe x16 (Gen2) 2GB1 64 Gbit/sec, out SL-DVI 2048x1152, output: RGB (VGA) 2048x1536 , input: SL-DVI 1920x1200, RGB (VGA) 2048x1536, Component (YPbPr) 1080i, S-Video NTSC/PAL/SECAM, Composite NTSC/PAL/</t>
        </is>
      </c>
      <c r="E995" s="2">
        <v>1</v>
      </c>
      <c r="F995" s="2">
        <v>1</v>
      </c>
      <c r="H995" s="2">
        <v>3372</v>
      </c>
      <c r="I995" s="2" t="inlineStr">
        <is>
          <t>$</t>
        </is>
      </c>
      <c r="J995" s="2">
        <f>HYPERLINK("https://app.astro.lead-studio.pro/product/fe5baed2-f73f-4b8b-93d4-9c3bf7a962e4")</f>
      </c>
    </row>
    <row r="996" spans="1:10" customHeight="0">
      <c r="A996" s="2" t="inlineStr">
        <is>
          <t>Видеокарты (для серверов)</t>
        </is>
      </c>
      <c r="B996" s="2" t="inlineStr">
        <is>
          <t>Matrox</t>
        </is>
      </c>
      <c r="C996" s="2" t="inlineStr">
        <is>
          <t>MURA-MPXSDIF</t>
        </is>
      </c>
      <c r="D996" s="2" t="inlineStr">
        <is>
          <t>Видеокарта Matrox MURA-MPXSDIF контроллер, позволяющий настроить конфигурацию видеостены, возможность управлять видеостеной с помощью ПО Matrox Mura Control, PCI-E x16, 1GB GDDR, 1920x1080@60Гц, input formats: SDI, output formats: SL-DVI, RGB (VGA)</t>
        </is>
      </c>
      <c r="E996" s="2">
        <v>1</v>
      </c>
      <c r="F996" s="2">
        <v>1</v>
      </c>
      <c r="H996" s="2">
        <v>2108</v>
      </c>
      <c r="I996" s="2" t="inlineStr">
        <is>
          <t>$</t>
        </is>
      </c>
      <c r="J996" s="2">
        <f>HYPERLINK("https://app.astro.lead-studio.pro/product/9d5f7455-ab74-4cdd-9cb5-724cb878969b")</f>
      </c>
    </row>
    <row r="997" spans="1:10" customHeight="0">
      <c r="A997" s="2" t="inlineStr">
        <is>
          <t>Видеокарты (для серверов)</t>
        </is>
      </c>
      <c r="B997" s="2" t="inlineStr">
        <is>
          <t>Matrox</t>
        </is>
      </c>
      <c r="C997" s="2" t="inlineStr">
        <is>
          <t>XTO2A-FESLPAF SAMPLE</t>
        </is>
      </c>
      <c r="D997" s="2" t="inlineStr">
        <is>
          <t>Видеокарта Matrox XTO2A-FESLPAF</t>
        </is>
      </c>
      <c r="E997" s="2">
        <v>1</v>
      </c>
      <c r="F997" s="2">
        <v>1</v>
      </c>
      <c r="H997" s="2">
        <v>485</v>
      </c>
      <c r="I997" s="2" t="inlineStr">
        <is>
          <t>$</t>
        </is>
      </c>
      <c r="J997" s="2">
        <f>HYPERLINK("https://app.astro.lead-studio.pro/product/464ef2ee-4b2d-4272-b7e4-2ff6a8c2bdeb")</f>
      </c>
    </row>
    <row r="998" spans="1:10" customHeight="0">
      <c r="A998" s="2" t="inlineStr">
        <is>
          <t>Графический процессор (GPU)</t>
        </is>
      </c>
      <c r="B998" s="2" t="inlineStr">
        <is>
          <t>AMD Radeon</t>
        </is>
      </c>
      <c r="C998" s="2" t="inlineStr">
        <is>
          <t>100-505981</t>
        </is>
      </c>
      <c r="D998" s="2" t="inlineStr">
        <is>
          <t>Графический процессор AMD Radeon AMD FirePro S400 Sync Module.(AW100505981)(100-505981) RTL AMD FirePro S400 Sync Module.(AW100505981)(100-505981) RTL</t>
        </is>
      </c>
      <c r="E998" s="2">
        <v>3</v>
      </c>
      <c r="F998" s="2">
        <v>3</v>
      </c>
      <c r="H998" s="2">
        <v>792</v>
      </c>
      <c r="I998" s="2" t="inlineStr">
        <is>
          <t>$</t>
        </is>
      </c>
      <c r="J998" s="2">
        <f>HYPERLINK("https://app.astro.lead-studio.pro/product/454bf71f-fe66-4de2-a97c-09041a8e8cc9")</f>
      </c>
    </row>
    <row r="999" spans="1:10" customHeight="0">
      <c r="A999" s="2" t="inlineStr">
        <is>
          <t>Графический процессор (GPU)</t>
        </is>
      </c>
      <c r="B999" s="2" t="inlineStr">
        <is>
          <t>NVIDIA</t>
        </is>
      </c>
      <c r="C999" s="2" t="inlineStr">
        <is>
          <t>900-2G503-0010-000</t>
        </is>
      </c>
      <c r="D999" s="2" t="inlineStr">
        <is>
          <t>Графический процессор NVIDIA TESLA V100-SXM2-32GB,PG503 SKU203, (900-2G503-0010-000), Generi OEM {8}</t>
        </is>
      </c>
      <c r="E999" s="2">
        <v>1</v>
      </c>
      <c r="F999" s="2">
        <v>1</v>
      </c>
      <c r="H999" s="2">
        <v>6359</v>
      </c>
      <c r="I999" s="2" t="inlineStr">
        <is>
          <t>$</t>
        </is>
      </c>
      <c r="J999" s="2">
        <f>HYPERLINK("https://app.astro.lead-studio.pro/product/ca03618e-cb77-4936-a443-94240c3c1839")</f>
      </c>
    </row>
    <row r="1000" spans="1:10" customHeight="0">
      <c r="A1000" s="2" t="inlineStr">
        <is>
          <t>Контроллеры (для серверов)</t>
        </is>
      </c>
      <c r="B1000" s="2" t="inlineStr">
        <is>
          <t>Broadcom</t>
        </is>
      </c>
      <c r="C1000" s="2" t="inlineStr">
        <is>
          <t>05-25420-08A</t>
        </is>
      </c>
      <c r="D1000" s="2" t="inlineStr">
        <is>
          <t>RAID-контроллер Broadcom 9361-8i SGL (LSI00417 / 05-25420-08) PCIe 3.0 x8 LP, SAS/SATA 12G, RAID 0,1,5,6,10,50,60, 8port (2*int SFF8643), Cache 1GB, 3108ROC RTL (R8i) {5} (003075)</t>
        </is>
      </c>
      <c r="E1000" s="2">
        <v>20</v>
      </c>
      <c r="F1000" s="2">
        <v>20</v>
      </c>
      <c r="H1000" s="2">
        <v>418</v>
      </c>
      <c r="I1000" s="2" t="inlineStr">
        <is>
          <t>$</t>
        </is>
      </c>
      <c r="J1000" s="2">
        <f>HYPERLINK("https://app.astro.lead-studio.pro/product/607b692d-d90c-4ce7-889a-90f6bf22e817")</f>
      </c>
    </row>
    <row r="1001" spans="1:10" customHeight="0">
      <c r="A1001" s="2" t="inlineStr">
        <is>
          <t>Контроллеры (для серверов)</t>
        </is>
      </c>
      <c r="B1001" s="2" t="inlineStr">
        <is>
          <t>Broadcom</t>
        </is>
      </c>
      <c r="C1001" s="2" t="inlineStr">
        <is>
          <t>05-25420-08A / 03-25420-11A</t>
        </is>
      </c>
      <c r="D1001" s="2" t="inlineStr">
        <is>
          <t>RAID-контроллер Broadcom LSI MegaRAID SAS 9361-8i SGL (LSI00417 / 05-25420-08 / 03-25420-11A) PCIe 3.0 x8 LP, SAS/SATA 12G, RAID 0,1,5,6,10,50,60, 8port (2*int SFF8643), Cache 1GB, 3108ROC RTL {5} (003075)</t>
        </is>
      </c>
      <c r="E1001" s="2">
        <v>20</v>
      </c>
      <c r="F1001" s="2">
        <v>20</v>
      </c>
      <c r="H1001" s="2">
        <v>421</v>
      </c>
      <c r="I1001" s="2" t="inlineStr">
        <is>
          <t>$</t>
        </is>
      </c>
      <c r="J1001" s="2">
        <f>HYPERLINK("https://app.astro.lead-studio.pro/product/0c72a005-b76a-4589-a450-8194b05195e3")</f>
      </c>
    </row>
    <row r="1002" spans="1:10" customHeight="0">
      <c r="A1002" s="2" t="inlineStr">
        <is>
          <t>Контроллеры (для серверов)</t>
        </is>
      </c>
      <c r="B1002" s="2" t="inlineStr">
        <is>
          <t>Broadcom</t>
        </is>
      </c>
      <c r="C1002" s="2" t="inlineStr">
        <is>
          <t>05-25420-08B</t>
        </is>
      </c>
      <c r="D1002" s="2" t="inlineStr">
        <is>
          <t>RAID-контроллер Broadcom 9361-8i SGL (LSI00417 / 05-25420-08 / 05-25420-08B) PCIe 3.0 x8 LP, SAS/SATA 12G, RAID 0,1,5,6,10,50,60, 8port (2*int SFF8643), Cache 1GB, 3108ROC RTL (R8i) {5} (003075)</t>
        </is>
      </c>
      <c r="E1002" s="2">
        <v>20</v>
      </c>
      <c r="F1002" s="2">
        <v>20</v>
      </c>
      <c r="H1002" s="2">
        <v>421</v>
      </c>
      <c r="I1002" s="2" t="inlineStr">
        <is>
          <t>$</t>
        </is>
      </c>
      <c r="J1002" s="2">
        <f>HYPERLINK("https://app.astro.lead-studio.pro/product/db354742-0c5c-48b0-abab-7153394bea14")</f>
      </c>
    </row>
    <row r="1003" spans="1:10" customHeight="0">
      <c r="A1003" s="2" t="inlineStr">
        <is>
          <t>Контроллеры (для серверов)</t>
        </is>
      </c>
      <c r="B1003" s="2" t="inlineStr">
        <is>
          <t>Broadcom</t>
        </is>
      </c>
      <c r="C1003" s="2" t="inlineStr">
        <is>
          <t>05-25420-08C / 03-25420-11C</t>
        </is>
      </c>
      <c r="D1003" s="2" t="inlineStr">
        <is>
          <t>RAID-контроллер Broadcom LSI MegaRAID SAS 9361-8i SGL (LSI00417 / 05-25420-08 / 03-25420-11C) PCIe 3.0 x8 LP, SAS/SATA 12G, RAID 0,1,5,6,10,50,60, 8port (2*int SFF8643), Cache 1GB, 3108ROC (003075)</t>
        </is>
      </c>
      <c r="E1003" s="2">
        <v>2</v>
      </c>
      <c r="F1003" s="2">
        <v>2</v>
      </c>
      <c r="H1003" s="2">
        <v>414</v>
      </c>
      <c r="I1003" s="2" t="inlineStr">
        <is>
          <t>$</t>
        </is>
      </c>
      <c r="J1003" s="2">
        <f>HYPERLINK("https://app.astro.lead-studio.pro/product/276e38ab-a728-443e-9354-220d2ed0918d")</f>
      </c>
    </row>
    <row r="1004" spans="1:10" customHeight="0">
      <c r="A1004" s="2" t="inlineStr">
        <is>
          <t>Контроллеры (для серверов)</t>
        </is>
      </c>
      <c r="B1004" s="2" t="inlineStr">
        <is>
          <t>Broadcom</t>
        </is>
      </c>
      <c r="C1004" s="2" t="inlineStr">
        <is>
          <t>05-25420-08C / 03-25420-11C||bp</t>
        </is>
      </c>
      <c r="D1004" s="2" t="inlineStr">
        <is>
          <t>RAID-контроллер Broadcom Bad Pack 9361-8i SGL (LSI00417 / 05-25420-08 / 03-25420-11) PCIe 3.0 x8 LP, SAS/SATA 12G, RAID 0,1,5,6,10,50,60, 8port (2*int SFF8643), Cache 1GB, 3108ROC (R8i) (003075) bp</t>
        </is>
      </c>
      <c r="E1004" s="2">
        <v>1</v>
      </c>
      <c r="F1004" s="2">
        <v>1</v>
      </c>
      <c r="H1004" s="2">
        <v>340</v>
      </c>
      <c r="I1004" s="2" t="inlineStr">
        <is>
          <t>$</t>
        </is>
      </c>
      <c r="J1004" s="2">
        <f>HYPERLINK("https://app.astro.lead-studio.pro/product/607f1f8d-707a-4118-9b70-47040e8ea2ff")</f>
      </c>
    </row>
    <row r="1005" spans="1:10" customHeight="0">
      <c r="A1005" s="2" t="inlineStr">
        <is>
          <t>Контроллеры (для серверов)</t>
        </is>
      </c>
      <c r="B1005" s="2" t="inlineStr">
        <is>
          <t>Broadcom</t>
        </is>
      </c>
      <c r="C1005" s="2" t="inlineStr">
        <is>
          <t>05-25420-08D / 03-25420-11D</t>
        </is>
      </c>
      <c r="D1005" s="2" t="inlineStr">
        <is>
          <t>RAID-контроллер Broadcom 9361-8i SGL (LSI00417 / 05-25420-08 / 05-25420-08D) PCIe 3.0 x8 LP, SAS/SATA 12G, RAID 0,1,5,6,10,50,60, 8port (2*int SFF8643), Cache 1GB, 3108ROC RTL (R8i) {5} (003075)</t>
        </is>
      </c>
      <c r="E1005" s="2">
        <v>20</v>
      </c>
      <c r="F1005" s="2">
        <v>20</v>
      </c>
      <c r="H1005" s="2">
        <v>423</v>
      </c>
      <c r="I1005" s="2" t="inlineStr">
        <is>
          <t>$</t>
        </is>
      </c>
      <c r="J1005" s="2">
        <f>HYPERLINK("https://app.astro.lead-studio.pro/product/fe34cc06-b876-4374-a4fe-fca184705970")</f>
      </c>
    </row>
    <row r="1006" spans="1:10" customHeight="0">
      <c r="A1006" s="2" t="inlineStr">
        <is>
          <t>Контроллеры (для серверов)</t>
        </is>
      </c>
      <c r="B1006" s="2" t="inlineStr">
        <is>
          <t>Broadcom</t>
        </is>
      </c>
      <c r="C1006" s="2" t="inlineStr">
        <is>
          <t>05-25420-10D / 03-25420-12D</t>
        </is>
      </c>
      <c r="D1006" s="2" t="inlineStr">
        <is>
          <t>RAID-контроллер Broadcom LSI MegaRAID SAS 9361-4i SGL (LSI00415 / 05-25420-10) PCIe 3.0 x8 LP, SAS/SATA 12G, RAID 0,1,5,6,10,50,60, 4port (1*int SFF8643), Cache 1GB, 3108ROC, {5}, (003051)</t>
        </is>
      </c>
      <c r="E1006" s="2">
        <v>12</v>
      </c>
      <c r="F1006" s="2">
        <v>12</v>
      </c>
      <c r="H1006" s="2">
        <v>662</v>
      </c>
      <c r="I1006" s="2" t="inlineStr">
        <is>
          <t>$</t>
        </is>
      </c>
      <c r="J1006" s="2">
        <f>HYPERLINK("https://app.astro.lead-studio.pro/product/28b17520-d084-4b37-bd5c-6382b242d732")</f>
      </c>
    </row>
    <row r="1007" spans="1:10" customHeight="0">
      <c r="A1007" s="2" t="inlineStr">
        <is>
          <t>Контроллеры (для серверов)</t>
        </is>
      </c>
      <c r="B1007" s="2" t="inlineStr">
        <is>
          <t>Broadcom</t>
        </is>
      </c>
      <c r="C1007" s="2" t="inlineStr">
        <is>
          <t>05-25420-17</t>
        </is>
      </c>
      <c r="D1007" s="2" t="inlineStr">
        <is>
          <t>RAID-контроллер Broadcom SAS/SATA PCIE 9361-8I 05-25420-17 (OEM)</t>
        </is>
      </c>
      <c r="E1007" s="2">
        <v>1</v>
      </c>
      <c r="F1007" s="2">
        <v>1</v>
      </c>
      <c r="H1007" s="2">
        <v>738</v>
      </c>
      <c r="I1007" s="2" t="inlineStr">
        <is>
          <t>$</t>
        </is>
      </c>
      <c r="J1007" s="2">
        <f>HYPERLINK("https://app.astro.lead-studio.pro/product/aaebbc5d-4fc7-4d03-b470-9d5efd82b77c")</f>
      </c>
    </row>
    <row r="1008" spans="1:10" customHeight="0">
      <c r="A1008" s="2" t="inlineStr">
        <is>
          <t>Контроллеры (для серверов)</t>
        </is>
      </c>
      <c r="B1008" s="2" t="inlineStr">
        <is>
          <t>Broadcom</t>
        </is>
      </c>
      <c r="C1008" s="2" t="inlineStr">
        <is>
          <t>05-25420-17004 / 03-25420-08D</t>
        </is>
      </c>
      <c r="D1008" s="2" t="inlineStr">
        <is>
          <t>RAID-контроллер Broadcom 9361-8i(2G) SGL (LSI00462 / 05-25420-17004 / 03-25420-08D) PCIe 3.0 x8 LP, SAS/SATA 12G, RAID 0,1,5,6,10,50,60, 8port (2*int SFF8643), Cache 2GB, 3108ROC, RTL  (R8i) {5}, (003563)</t>
        </is>
      </c>
      <c r="E1008" s="2">
        <v>20</v>
      </c>
      <c r="F1008" s="2">
        <v>20</v>
      </c>
      <c r="H1008" s="2">
        <v>520</v>
      </c>
      <c r="I1008" s="2" t="inlineStr">
        <is>
          <t>$</t>
        </is>
      </c>
      <c r="J1008" s="2">
        <f>HYPERLINK("https://app.astro.lead-studio.pro/product/7af90409-e60f-498b-b1ce-231b030c33e2")</f>
      </c>
    </row>
    <row r="1009" spans="1:10" customHeight="0">
      <c r="A1009" s="2" t="inlineStr">
        <is>
          <t>Контроллеры (для серверов)</t>
        </is>
      </c>
      <c r="B1009" s="2" t="inlineStr">
        <is>
          <t>Broadcom</t>
        </is>
      </c>
      <c r="C1009" s="2" t="inlineStr">
        <is>
          <t>05-25420-17004 / 03-25420-08С</t>
        </is>
      </c>
      <c r="D1009" s="2" t="inlineStr">
        <is>
          <t>RAID-контроллер Broadcom LSI MegaRAID SAS 9361-8i(2G) SGL (05-25420-17 / 03-25420-08С) PCIe 3.0 x8 LP, SAS/SATA 12G, RAID 0,1,5,6,10,50,60, 8port (2*int SFF8643), Cache 2GB, 3108ROC, RTL {5}, (003563)</t>
        </is>
      </c>
      <c r="E1009" s="2">
        <v>20</v>
      </c>
      <c r="F1009" s="2">
        <v>20</v>
      </c>
      <c r="H1009" s="2">
        <v>520</v>
      </c>
      <c r="I1009" s="2" t="inlineStr">
        <is>
          <t>$</t>
        </is>
      </c>
      <c r="J1009" s="2">
        <f>HYPERLINK("https://app.astro.lead-studio.pro/product/aa717c77-9034-4402-97fd-b1f46a4c33a0")</f>
      </c>
    </row>
    <row r="1010" spans="1:10" customHeight="0">
      <c r="A1010" s="2" t="inlineStr">
        <is>
          <t>Контроллеры (для серверов)</t>
        </is>
      </c>
      <c r="B1010" s="2" t="inlineStr">
        <is>
          <t>Broadcom</t>
        </is>
      </c>
      <c r="C1010" s="2" t="inlineStr">
        <is>
          <t>05-25420-17004 / 03-25420-22004</t>
        </is>
      </c>
      <c r="D1010" s="2" t="inlineStr">
        <is>
          <t>RAID-контроллер Broadcom 9361-8i(2G) SGL (LSI00462 / 05-25420-17 / 03-25420-22004)  PCIe 3.0 x8 LP, SAS/SATA 12G, RAID 0,1,5,6,10,50,60, 8port (2*int SFF8643), Cache 2GB, 3108ROC, RTL {5}, </t>
        </is>
      </c>
      <c r="E1010" s="2">
        <v>20</v>
      </c>
      <c r="F1010" s="2">
        <v>20</v>
      </c>
      <c r="H1010" s="2">
        <v>516</v>
      </c>
      <c r="I1010" s="2" t="inlineStr">
        <is>
          <t>$</t>
        </is>
      </c>
      <c r="J1010" s="2">
        <f>HYPERLINK("https://app.astro.lead-studio.pro/product/6d7ca7c1-b288-4d00-b1c7-7aeaaecaa54d")</f>
      </c>
    </row>
    <row r="1011" spans="1:10" customHeight="0">
      <c r="A1011" s="2" t="inlineStr">
        <is>
          <t>Контроллеры (для серверов)</t>
        </is>
      </c>
      <c r="B1011" s="2" t="inlineStr">
        <is>
          <t>Broadcom</t>
        </is>
      </c>
      <c r="C1011" s="2" t="inlineStr">
        <is>
          <t>05-25420-17006 / 03-25420-08D</t>
        </is>
      </c>
      <c r="D1011" s="2" t="inlineStr">
        <is>
          <t>RAID-контроллер Broadcom LSI MegaRAID SAS 9361-8i(2G) SGL (03-25420-08D / 03-25420-08C)</t>
        </is>
      </c>
      <c r="E1011" s="2">
        <v>20</v>
      </c>
      <c r="F1011" s="2">
        <v>20</v>
      </c>
      <c r="H1011" s="2">
        <v>520</v>
      </c>
      <c r="I1011" s="2" t="inlineStr">
        <is>
          <t>$</t>
        </is>
      </c>
      <c r="J1011" s="2">
        <f>HYPERLINK("https://app.astro.lead-studio.pro/product/7850d763-ff9c-4051-96b5-3e641a456979")</f>
      </c>
    </row>
    <row r="1012" spans="1:10" customHeight="0">
      <c r="A1012" s="2" t="inlineStr">
        <is>
          <t>Контроллеры (для серверов)</t>
        </is>
      </c>
      <c r="B1012" s="2" t="inlineStr">
        <is>
          <t>Broadcom</t>
        </is>
      </c>
      <c r="C1012" s="2" t="inlineStr">
        <is>
          <t>05-25699-02007 / 03-25699-02007</t>
        </is>
      </c>
      <c r="D1012" s="2" t="inlineStr">
        <is>
          <t>HBA-адаптер Broadcom 9305-24i SGL (05-25699-00 / 03-25699-02007) PCIe 3.0 x8 LP, SAS/SATA 12G HBA, 24port(6*int SFF8643), 3224 IOC</t>
        </is>
      </c>
      <c r="E1012" s="2">
        <v>9</v>
      </c>
      <c r="F1012" s="2">
        <v>9</v>
      </c>
      <c r="H1012" s="2">
        <v>566</v>
      </c>
      <c r="I1012" s="2" t="inlineStr">
        <is>
          <t>$</t>
        </is>
      </c>
      <c r="J1012" s="2">
        <f>HYPERLINK("https://app.astro.lead-studio.pro/product/f4cd3be7-36ce-448f-a657-ebcd121842f5")</f>
      </c>
    </row>
    <row r="1013" spans="1:10" customHeight="0">
      <c r="A1013" s="2" t="inlineStr">
        <is>
          <t>Контроллеры (для серверов)</t>
        </is>
      </c>
      <c r="B1013" s="2" t="inlineStr">
        <is>
          <t>Broadcom</t>
        </is>
      </c>
      <c r="C1013" s="2" t="inlineStr">
        <is>
          <t>05-25703-00005 / 03-25703-02004</t>
        </is>
      </c>
      <c r="D1013" s="2" t="inlineStr">
        <is>
          <t>HBA-адаптер Broadcom 9305-16i SGL (05-25703-00 / 03-25703-02004)  PCIe 3.0 x8 LP, SAS/SATA 12G HBA, 16port(4*int SFF8643), 3224 IOC, (007226)</t>
        </is>
      </c>
      <c r="E1013" s="2">
        <v>3</v>
      </c>
      <c r="F1013" s="2">
        <v>3</v>
      </c>
      <c r="H1013" s="2">
        <v>624</v>
      </c>
      <c r="I1013" s="2" t="inlineStr">
        <is>
          <t>$</t>
        </is>
      </c>
      <c r="J1013" s="2">
        <f>HYPERLINK("https://app.astro.lead-studio.pro/product/3bb9729a-d42c-4c41-bee9-6742e3f474e2")</f>
      </c>
    </row>
    <row r="1014" spans="1:10" customHeight="0">
      <c r="A1014" s="2" t="inlineStr">
        <is>
          <t>Контроллеры (для серверов)</t>
        </is>
      </c>
      <c r="B1014" s="2" t="inlineStr">
        <is>
          <t>Broadcom</t>
        </is>
      </c>
      <c r="C1014" s="2" t="inlineStr">
        <is>
          <t>05-26106-00I / H3-25470-01L</t>
        </is>
      </c>
      <c r="D1014" s="2" t="inlineStr">
        <is>
          <t>RAID-контроллер Broadcom 9341-8i SGL (LSI00407 / 05-26106-00)  PCIe 3.0 x8 LP, SAS/SATA 12G, RAID 0,1,5,10,50, 8port(2*int SFF8643), 3008ROC, (003112)</t>
        </is>
      </c>
      <c r="E1014" s="2">
        <v>20</v>
      </c>
      <c r="F1014" s="2">
        <v>20</v>
      </c>
      <c r="H1014" s="2">
        <v>525</v>
      </c>
      <c r="I1014" s="2" t="inlineStr">
        <is>
          <t>$</t>
        </is>
      </c>
      <c r="J1014" s="2">
        <f>HYPERLINK("https://app.astro.lead-studio.pro/product/e4d30f1f-7968-4881-8262-2a9a986e3c32")</f>
      </c>
    </row>
    <row r="1015" spans="1:10" customHeight="0">
      <c r="A1015" s="2" t="inlineStr">
        <is>
          <t>Контроллеры (для серверов)</t>
        </is>
      </c>
      <c r="B1015" s="2" t="inlineStr">
        <is>
          <t>Broadcom</t>
        </is>
      </c>
      <c r="C1015" s="2" t="inlineStr">
        <is>
          <t>05-26106-00J / 03-26106-00J</t>
        </is>
      </c>
      <c r="D1015" s="2" t="inlineStr">
        <is>
          <t>RAID-контроллер Broadcom 9341-8i SGL (LSI00407 / 05-26106-00)  PCIe 3.0 x8 LP, SAS/SATA 12G, RAID 0,1,5,10,50, 8port(2*int SFF8643), 3008ROC, (003112)</t>
        </is>
      </c>
      <c r="E1015" s="2">
        <v>1</v>
      </c>
      <c r="F1015" s="2">
        <v>1</v>
      </c>
      <c r="H1015" s="2">
        <v>525</v>
      </c>
      <c r="I1015" s="2" t="inlineStr">
        <is>
          <t>$</t>
        </is>
      </c>
      <c r="J1015" s="2">
        <f>HYPERLINK("https://app.astro.lead-studio.pro/product/4fcd7957-948e-4e19-ae4b-93f2cb036dcd")</f>
      </c>
    </row>
    <row r="1016" spans="1:10" customHeight="0">
      <c r="A1016" s="2" t="inlineStr">
        <is>
          <t>Контроллеры (для серверов)</t>
        </is>
      </c>
      <c r="B1016" s="2" t="inlineStr">
        <is>
          <t>Broadcom</t>
        </is>
      </c>
      <c r="C1016" s="2" t="inlineStr">
        <is>
          <t>05-50008-01003 / 03-50008-16003</t>
        </is>
      </c>
      <c r="D1016" s="2" t="inlineStr">
        <is>
          <t>HBA-адаптер Broadcom 9400-8i SGL (05-50008-01)  PCIe 3.1 x8 LP, Tri-Mode SAS/SATA/NVMe 12G HBA, 8port(2*int SFF8643), 3408 IOC</t>
        </is>
      </c>
      <c r="E1016" s="2">
        <v>20</v>
      </c>
      <c r="F1016" s="2">
        <v>20</v>
      </c>
      <c r="H1016" s="2">
        <v>445</v>
      </c>
      <c r="I1016" s="2" t="inlineStr">
        <is>
          <t>$</t>
        </is>
      </c>
      <c r="J1016" s="2">
        <f>HYPERLINK("https://app.astro.lead-studio.pro/product/f38782ff-b40e-42f0-8183-77138ad97659")</f>
      </c>
    </row>
    <row r="1017" spans="1:10" customHeight="0">
      <c r="A1017" s="2" t="inlineStr">
        <is>
          <t>Контроллеры (для серверов)</t>
        </is>
      </c>
      <c r="B1017" s="2" t="inlineStr">
        <is>
          <t>Broadcom</t>
        </is>
      </c>
      <c r="C1017" s="2" t="inlineStr">
        <is>
          <t>05-50008-01006 / 03-50008-16006</t>
        </is>
      </c>
      <c r="D1017" s="2" t="inlineStr">
        <is>
          <t>HBA-адаптер Broadcom 9400-8i SGL (05-50008-01)  PCIe 3.1 x8 LP, Tri-Mode SAS/SATA/NVMe 12G HBA, 8port(2*int SFF8643), 3408 IOC</t>
        </is>
      </c>
      <c r="E1017" s="2">
        <v>20</v>
      </c>
      <c r="F1017" s="2">
        <v>20</v>
      </c>
      <c r="H1017" s="2">
        <v>455</v>
      </c>
      <c r="I1017" s="2" t="inlineStr">
        <is>
          <t>$</t>
        </is>
      </c>
      <c r="J1017" s="2">
        <f>HYPERLINK("https://app.astro.lead-studio.pro/product/968c539a-4ccc-44d0-8261-d7f8c13e5012")</f>
      </c>
    </row>
    <row r="1018" spans="1:10" customHeight="0">
      <c r="A1018" s="2" t="inlineStr">
        <is>
          <t>Контроллеры (для серверов)</t>
        </is>
      </c>
      <c r="B1018" s="2" t="inlineStr">
        <is>
          <t>Broadcom</t>
        </is>
      </c>
      <c r="C1018" s="2" t="inlineStr">
        <is>
          <t>05-50008-15012 / 03-50008-15012</t>
        </is>
      </c>
      <c r="D1018" s="2" t="inlineStr">
        <is>
          <t>HBA-адаптер Broadcom SAS 9400-16i SGL (05-50008-00 / 03-50008-15012) PCIe 3.1 x8 LP, Tri-Mode SAS/SATA/NVMe 12G HBA, 16port(4*int SFF8643), 3416 IOC</t>
        </is>
      </c>
      <c r="E1018" s="2">
        <v>1</v>
      </c>
      <c r="F1018" s="2">
        <v>1</v>
      </c>
      <c r="H1018" s="2">
        <v>348</v>
      </c>
      <c r="I1018" s="2" t="inlineStr">
        <is>
          <t>$</t>
        </is>
      </c>
      <c r="J1018" s="2">
        <f>HYPERLINK("https://app.astro.lead-studio.pro/product/e71948b6-21f6-4b2d-a7e7-751f451fc79e")</f>
      </c>
    </row>
    <row r="1019" spans="1:10" customHeight="0">
      <c r="A1019" s="2" t="inlineStr">
        <is>
          <t>Контроллеры (для серверов)</t>
        </is>
      </c>
      <c r="B1019" s="2" t="inlineStr">
        <is>
          <t>Broadcom</t>
        </is>
      </c>
      <c r="C1019" s="2" t="inlineStr">
        <is>
          <t>05-50011-30011 / 03-50011-30011</t>
        </is>
      </c>
      <c r="D1019" s="2" t="inlineStr">
        <is>
          <t>RAID-контроллер Broadcom MegaRAID 9460-16I SGL (05-50011-00 / 05-50011-30011)  PCIe 3.1 x8 LP, SAS/SATA/NVMe, RAID 0,1,5,6,10,50,60, 16port(4* int SFF8643), 4GB Cache, 3516ROC, RTL {5}, (003600) (003648)</t>
        </is>
      </c>
      <c r="E1019" s="2">
        <v>100</v>
      </c>
      <c r="F1019" s="2">
        <v>100</v>
      </c>
      <c r="H1019" s="2">
        <v>1002</v>
      </c>
      <c r="I1019" s="2" t="inlineStr">
        <is>
          <t>$</t>
        </is>
      </c>
      <c r="J1019" s="2">
        <f>HYPERLINK("https://app.astro.lead-studio.pro/product/03532734-7532-478a-ab77-dff7216894f6")</f>
      </c>
    </row>
    <row r="1020" spans="1:10" customHeight="0">
      <c r="A1020" s="2" t="inlineStr">
        <is>
          <t>Контроллеры (для серверов)</t>
        </is>
      </c>
      <c r="B1020" s="2" t="inlineStr">
        <is>
          <t>Broadcom</t>
        </is>
      </c>
      <c r="C1020" s="2" t="inlineStr">
        <is>
          <t>05-50013-00008 / 03-50013-15008</t>
        </is>
      </c>
      <c r="D1020" s="2" t="inlineStr">
        <is>
          <t>HBA-адаптер Broadcom SAS 9400-16e SGL (05-50013-00) PCIe 3.1 x8 LP, Tri-Mode SAS/SATA/NVMe 12G HBA, 16port(4*ext SFF8644), 3416 IOC</t>
        </is>
      </c>
      <c r="E1020" s="2">
        <v>3</v>
      </c>
      <c r="F1020" s="2">
        <v>3</v>
      </c>
      <c r="H1020" s="2">
        <v>717</v>
      </c>
      <c r="I1020" s="2" t="inlineStr">
        <is>
          <t>$</t>
        </is>
      </c>
      <c r="J1020" s="2">
        <f>HYPERLINK("https://app.astro.lead-studio.pro/product/d1e0bd9f-839a-44a0-9879-d8c690ea4d45")</f>
      </c>
    </row>
    <row r="1021" spans="1:10" customHeight="0">
      <c r="A1021" s="2" t="inlineStr">
        <is>
          <t>Контроллеры (для серверов)</t>
        </is>
      </c>
      <c r="B1021" s="2" t="inlineStr">
        <is>
          <t>Broadcom</t>
        </is>
      </c>
      <c r="C1021" s="2" t="inlineStr">
        <is>
          <t>05-50013-01007 / 03-50013-01007</t>
        </is>
      </c>
      <c r="D1021" s="2" t="inlineStr">
        <is>
          <t>HBA-адаптер Broadcom SAS 9400-8e SGL (05-50013-01) PCIe 3.1 x8 LP, Tri-Mode SAS/SATA/NVMe 12G HBA, 8port(2*ext SFF8644), 3408 IOC</t>
        </is>
      </c>
      <c r="E1021" s="2">
        <v>1</v>
      </c>
      <c r="F1021" s="2">
        <v>1</v>
      </c>
      <c r="H1021" s="2">
        <v>453</v>
      </c>
      <c r="I1021" s="2" t="inlineStr">
        <is>
          <t>$</t>
        </is>
      </c>
      <c r="J1021" s="2">
        <f>HYPERLINK("https://app.astro.lead-studio.pro/product/d08b943e-00f9-448e-9ba9-aa9f8dc652e8")</f>
      </c>
    </row>
    <row r="1022" spans="1:10" customHeight="0">
      <c r="A1022" s="2" t="inlineStr">
        <is>
          <t>Контроллеры (для серверов)</t>
        </is>
      </c>
      <c r="B1022" s="2" t="inlineStr">
        <is>
          <t>Broadcom</t>
        </is>
      </c>
      <c r="C1022" s="2" t="inlineStr">
        <is>
          <t>05-50013-01008 / 03-50013-16008</t>
        </is>
      </c>
      <c r="D1022" s="2" t="inlineStr">
        <is>
          <t>HBA-адаптер Broadcom SAS 9400-8e SGL (05-50013-01 / 03-50013-16008) PCIe 3.1 x8 LP, Tri-Mode SAS/SATA/NVMe 12G HBA, 8port(2*ext SFF8644), 3408 IOC</t>
        </is>
      </c>
      <c r="E1022" s="2">
        <v>20</v>
      </c>
      <c r="F1022" s="2">
        <v>20</v>
      </c>
      <c r="H1022" s="2">
        <v>450</v>
      </c>
      <c r="I1022" s="2" t="inlineStr">
        <is>
          <t>$</t>
        </is>
      </c>
      <c r="J1022" s="2">
        <f>HYPERLINK("https://app.astro.lead-studio.pro/product/0982e853-c5be-4cbc-a2b5-545685e5d4b0")</f>
      </c>
    </row>
    <row r="1023" spans="1:10" customHeight="0">
      <c r="A1023" s="2" t="inlineStr">
        <is>
          <t>Контроллеры (для серверов)</t>
        </is>
      </c>
      <c r="B1023" s="2" t="inlineStr">
        <is>
          <t>Broadcom</t>
        </is>
      </c>
      <c r="C1023" s="2" t="inlineStr">
        <is>
          <t>05-50022-00003 / 03-50022-05006</t>
        </is>
      </c>
      <c r="D1023" s="2" t="inlineStr">
        <is>
          <t>RAID-контроллер Broadcom LSI MegaRAID SAS 9361-24i SGL (05-50022-00) PCIe 3.0 x8 LP, SAS/SATA 12G, RAID 0,1,5,6,10,50,60, 24port(6*int SFF8643), Cache 4GB, 3324ROC, RTL {5}</t>
        </is>
      </c>
      <c r="E1023" s="2">
        <v>20</v>
      </c>
      <c r="F1023" s="2">
        <v>20</v>
      </c>
      <c r="H1023" s="2">
        <v>990</v>
      </c>
      <c r="I1023" s="2" t="inlineStr">
        <is>
          <t>$</t>
        </is>
      </c>
      <c r="J1023" s="2">
        <f>HYPERLINK("https://app.astro.lead-studio.pro/product/d3adb4e6-d2a0-4f7b-8a4e-25fd24774cba")</f>
      </c>
    </row>
    <row r="1024" spans="1:10" customHeight="0">
      <c r="A1024" s="2" t="inlineStr">
        <is>
          <t>Контроллеры (для серверов)</t>
        </is>
      </c>
      <c r="B1024" s="2" t="inlineStr">
        <is>
          <t>Broadcom</t>
        </is>
      </c>
      <c r="C1024" s="2" t="inlineStr">
        <is>
          <t>05-50031-18005 / 03-50031-18005</t>
        </is>
      </c>
      <c r="D1024" s="2" t="inlineStr">
        <is>
          <t>HBA-адаптер Broadcom 9400-8i8e SGL (05-50031-02 / 05-50031-18005 / 03-50031-18005) PCIe 3.1 x8 LP, Tri-Mode SAS/SATA/NVMe 12G HBA, 16port(2*int SFF8643+2*ext SFF8644), 3516 IOC</t>
        </is>
      </c>
      <c r="E1024" s="2">
        <v>20</v>
      </c>
      <c r="F1024" s="2">
        <v>20</v>
      </c>
      <c r="H1024" s="2">
        <v>1434</v>
      </c>
      <c r="I1024" s="2" t="inlineStr">
        <is>
          <t>$</t>
        </is>
      </c>
      <c r="J1024" s="2">
        <f>HYPERLINK("https://app.astro.lead-studio.pro/product/92b43ef9-9c2d-4222-9bf6-f03e56806d8f")</f>
      </c>
    </row>
    <row r="1025" spans="1:10" customHeight="0">
      <c r="A1025" s="2" t="inlineStr">
        <is>
          <t>Контроллеры (для серверов)</t>
        </is>
      </c>
      <c r="B1025" s="2" t="inlineStr">
        <is>
          <t>Broadcom</t>
        </is>
      </c>
      <c r="C1025" s="2" t="inlineStr">
        <is>
          <t>05-50054-00</t>
        </is>
      </c>
      <c r="D1025" s="2" t="inlineStr">
        <is>
          <t>HBA-адаптер Broadcom LSI P411W-32P (05-50054-00) NVMe HBA Adapter, PCIe 4.0 x16 LP, 32port ( 4* int SFF8654), PEX88048,</t>
        </is>
      </c>
      <c r="E1025" s="2">
        <v>20</v>
      </c>
      <c r="F1025" s="2">
        <v>20</v>
      </c>
      <c r="H1025" s="2">
        <v>1900</v>
      </c>
      <c r="I1025" s="2" t="inlineStr">
        <is>
          <t>$</t>
        </is>
      </c>
      <c r="J1025" s="2">
        <f>HYPERLINK("https://app.astro.lead-studio.pro/product/2814d991-e4b2-4639-a4fc-71b90c3ed4ee")</f>
      </c>
    </row>
    <row r="1026" spans="1:10" customHeight="0">
      <c r="A1026" s="2" t="inlineStr">
        <is>
          <t>Контроллеры (для серверов)</t>
        </is>
      </c>
      <c r="B1026" s="2" t="inlineStr">
        <is>
          <t>Broadcom</t>
        </is>
      </c>
      <c r="C1026" s="2" t="inlineStr">
        <is>
          <t>05-50075-00003 / 03-50075-00003</t>
        </is>
      </c>
      <c r="D1026" s="2" t="inlineStr">
        <is>
          <t>HBA-адаптер Broadcom 9500-16e SGL (03-50075-00003) PCIe Gen4 x8 LP, Tri-Mode SAS/SATA/NVMe 12G HBA, 16port(4*ext SFF8644), 3816 IOC {5}</t>
        </is>
      </c>
      <c r="E1026" s="2">
        <v>12</v>
      </c>
      <c r="F1026" s="2">
        <v>12</v>
      </c>
      <c r="H1026" s="2">
        <v>1010</v>
      </c>
      <c r="I1026" s="2" t="inlineStr">
        <is>
          <t>$</t>
        </is>
      </c>
      <c r="J1026" s="2">
        <f>HYPERLINK("https://app.astro.lead-studio.pro/product/57a96a52-8275-4077-aa19-5d35f71cc7dc")</f>
      </c>
    </row>
    <row r="1027" spans="1:10" customHeight="0">
      <c r="A1027" s="2" t="inlineStr">
        <is>
          <t>Контроллеры (для серверов)</t>
        </is>
      </c>
      <c r="B1027" s="2" t="inlineStr">
        <is>
          <t>Broadcom</t>
        </is>
      </c>
      <c r="C1027" s="2" t="inlineStr">
        <is>
          <t>05-50077-00002 / 03-50077-00002</t>
        </is>
      </c>
      <c r="D1027" s="2" t="inlineStr">
        <is>
          <t>RAID-контроллер Broadcom 9560-16I SGL (05-50077-00 / 05-50077-00002 / 03-50077-00002)  PCIe 4.0 x8 LP, SAS/SATA/NVMe, RAID 0,1,5,6,10,50,60, 16port(2* int SFF8654), 8GB Cache, 3916ROC, RTL</t>
        </is>
      </c>
      <c r="E1027" s="2">
        <v>3</v>
      </c>
      <c r="F1027" s="2">
        <v>3</v>
      </c>
      <c r="H1027" s="2">
        <v>1412</v>
      </c>
      <c r="I1027" s="2" t="inlineStr">
        <is>
          <t>$</t>
        </is>
      </c>
      <c r="J1027" s="2">
        <f>HYPERLINK("https://app.astro.lead-studio.pro/product/2b693361-ed43-4f9a-9a45-484a365c0861")</f>
      </c>
    </row>
    <row r="1028" spans="1:10" customHeight="0">
      <c r="A1028" s="2" t="inlineStr">
        <is>
          <t>Контроллеры (для серверов)</t>
        </is>
      </c>
      <c r="B1028" s="2" t="inlineStr">
        <is>
          <t>Broadcom</t>
        </is>
      </c>
      <c r="C1028" s="2" t="inlineStr">
        <is>
          <t>05-50077-00007 / 03-50077-00007</t>
        </is>
      </c>
      <c r="D1028" s="2" t="inlineStr">
        <is>
          <t>RAID-контроллер Broadcom 9560-16I SGL (05-50077-00 / 03-50077-00007)  PCIe 4.0 x8 LP, SAS/SATA/NVMe, RAID 0,1,5,6,10,50,60, 16port(2* int SFF8654), 8GB Cache, 3916ROC, RTL</t>
        </is>
      </c>
      <c r="E1028" s="2">
        <v>2</v>
      </c>
      <c r="F1028" s="2">
        <v>2</v>
      </c>
      <c r="H1028" s="2">
        <v>1347</v>
      </c>
      <c r="I1028" s="2" t="inlineStr">
        <is>
          <t>$</t>
        </is>
      </c>
      <c r="J1028" s="2">
        <f>HYPERLINK("https://app.astro.lead-studio.pro/product/d5c7b4b1-f1e3-4898-b92a-3fa1dc2430df")</f>
      </c>
    </row>
    <row r="1029" spans="1:10" customHeight="0">
      <c r="A1029" s="2" t="inlineStr">
        <is>
          <t>Контроллеры (для серверов)</t>
        </is>
      </c>
      <c r="B1029" s="2" t="inlineStr">
        <is>
          <t>Broadcom</t>
        </is>
      </c>
      <c r="C1029" s="2" t="inlineStr">
        <is>
          <t>05-50077-00012 / 03-50077-00011</t>
        </is>
      </c>
      <c r="D1029" s="2" t="inlineStr">
        <is>
          <t>RAID-контроллер Broadcom 9560-16i SGL (05-50077-00 / 05-50077-00012 / 03-50077-00011) PCIe 4.0 x8 LP, SAS/SATA/NVMe, RAID 0,1,5,6,10,50,60, 16port(2* int SFF8654), 8GB Cache, 3916ROC, RTL</t>
        </is>
      </c>
      <c r="E1029" s="2">
        <v>20</v>
      </c>
      <c r="F1029" s="2">
        <v>20</v>
      </c>
      <c r="H1029" s="2">
        <v>1353</v>
      </c>
      <c r="I1029" s="2" t="inlineStr">
        <is>
          <t>$</t>
        </is>
      </c>
      <c r="J1029" s="2">
        <f>HYPERLINK("https://app.astro.lead-studio.pro/product/44858779-dc9a-42f0-9bf4-4758acbbca91")</f>
      </c>
    </row>
    <row r="1030" spans="1:10" customHeight="0">
      <c r="A1030" s="2" t="inlineStr">
        <is>
          <t>Контроллеры (для серверов)</t>
        </is>
      </c>
      <c r="B1030" s="2" t="inlineStr">
        <is>
          <t>Broadcom</t>
        </is>
      </c>
      <c r="C1030" s="2" t="inlineStr">
        <is>
          <t>05-50077-01003 / 03-50077-01003</t>
        </is>
      </c>
      <c r="D1030" s="2" t="inlineStr">
        <is>
          <t>RAID-контроллер Broadcom MegaRAID 9560-8I SGL (05-50077-01 / 05-50077-01003) PCIe 4.0 x8 LP, SAS/SATA/NVMe, RAID 0,1,5,6,10,50,60, 8port(1 * int SFF8654), 4GB Cache, 3908ROC, RTL (007479)</t>
        </is>
      </c>
      <c r="E1030" s="2">
        <v>3</v>
      </c>
      <c r="F1030" s="2">
        <v>3</v>
      </c>
      <c r="H1030" s="2">
        <v>1131</v>
      </c>
      <c r="I1030" s="2" t="inlineStr">
        <is>
          <t>$</t>
        </is>
      </c>
      <c r="J1030" s="2">
        <f>HYPERLINK("https://app.astro.lead-studio.pro/product/bc7ac331-a34f-42da-be8a-7c0e11313464")</f>
      </c>
    </row>
    <row r="1031" spans="1:10" customHeight="0">
      <c r="A1031" s="2" t="inlineStr">
        <is>
          <t>Контроллеры (для серверов)</t>
        </is>
      </c>
      <c r="B1031" s="2" t="inlineStr">
        <is>
          <t>Broadcom</t>
        </is>
      </c>
      <c r="C1031" s="2" t="inlineStr">
        <is>
          <t>05-50077-01004 / 03-50077-01004</t>
        </is>
      </c>
      <c r="D1031" s="2" t="inlineStr">
        <is>
          <t>RAID-контроллер Broadcom MegaRAID 9560-8I SGL (05-50077-01 / 05-50077-01004) PCIe 4.0 x8 LP, SAS/SATA/NVMe, RAID 0,1,5,6,10,50,60, 8port(1 * int SFF8654), 4GB Cache, 3908ROC, RTL (007479)</t>
        </is>
      </c>
      <c r="E1031" s="2">
        <v>1</v>
      </c>
      <c r="F1031" s="2">
        <v>1</v>
      </c>
      <c r="H1031" s="2">
        <v>1126</v>
      </c>
      <c r="I1031" s="2" t="inlineStr">
        <is>
          <t>$</t>
        </is>
      </c>
      <c r="J1031" s="2">
        <f>HYPERLINK("https://app.astro.lead-studio.pro/product/346383fe-b06f-407f-bb51-962f7fb2ac4f")</f>
      </c>
    </row>
    <row r="1032" spans="1:10" customHeight="0">
      <c r="A1032" s="2" t="inlineStr">
        <is>
          <t>Контроллеры (для серверов)</t>
        </is>
      </c>
      <c r="B1032" s="2" t="inlineStr">
        <is>
          <t>Broadcom</t>
        </is>
      </c>
      <c r="C1032" s="2" t="inlineStr">
        <is>
          <t>05-50077-01005 / 03-50077-01005</t>
        </is>
      </c>
      <c r="D1032" s="2" t="inlineStr">
        <is>
          <t>RAID-контроллер Broadcom MegaRAID 9560-8I SGL (05-50077-01 / 05-50077-01005 / 03-50077-01005 / 03-50077-01008 / 03-50077-01004 ) PCIe 4.0 x8 LP, SAS/SATA/NVMe, RAID 0,1,5,6,10,50,60, 8port(1 * int SFF8654), 4GB Cache, 3908ROC, RTL (007479)</t>
        </is>
      </c>
      <c r="E1032" s="2">
        <v>1</v>
      </c>
      <c r="F1032" s="2">
        <v>1</v>
      </c>
      <c r="H1032" s="2">
        <v>1123</v>
      </c>
      <c r="I1032" s="2" t="inlineStr">
        <is>
          <t>$</t>
        </is>
      </c>
      <c r="J1032" s="2">
        <f>HYPERLINK("https://app.astro.lead-studio.pro/product/6b5fd8f6-2741-4856-91fb-26eae15186ce")</f>
      </c>
    </row>
    <row r="1033" spans="1:10" customHeight="0">
      <c r="A1033" s="2" t="inlineStr">
        <is>
          <t>Контроллеры (для серверов)</t>
        </is>
      </c>
      <c r="B1033" s="2" t="inlineStr">
        <is>
          <t>Broadcom</t>
        </is>
      </c>
      <c r="C1033" s="2" t="inlineStr">
        <is>
          <t>05-50077-01008 / 03-50077-01005</t>
        </is>
      </c>
      <c r="D1033" s="2" t="inlineStr">
        <is>
          <t>RAID-контроллер Broadcom 9560-8I SGL (05-50077-01 / 03-50077-01005) PCIe 4.0 x8 LP, SAS/SATA/NVMe, RAID 0,1,5,6,10,50,60, 8port(1 * int SFF8654), 4GB Cache, 3908ROC, RTL  (R8i) (007479)</t>
        </is>
      </c>
      <c r="E1033" s="2">
        <v>20</v>
      </c>
      <c r="F1033" s="2">
        <v>20</v>
      </c>
      <c r="H1033" s="2">
        <v>1038</v>
      </c>
      <c r="I1033" s="2" t="inlineStr">
        <is>
          <t>$</t>
        </is>
      </c>
      <c r="J1033" s="2">
        <f>HYPERLINK("https://app.astro.lead-studio.pro/product/ed29b778-f1a2-49ab-896a-141fe0e5d680")</f>
      </c>
    </row>
    <row r="1034" spans="1:10" customHeight="0">
      <c r="A1034" s="2" t="inlineStr">
        <is>
          <t>Контроллеры (для серверов)</t>
        </is>
      </c>
      <c r="B1034" s="2" t="inlineStr">
        <is>
          <t>Broadcom</t>
        </is>
      </c>
      <c r="C1034" s="2" t="inlineStr">
        <is>
          <t>05-50077-01008 / 03-50077-01008</t>
        </is>
      </c>
      <c r="D1034" s="2" t="inlineStr">
        <is>
          <t>RAID-контроллер Broadcom MegaRAID 9560-8I SGL (05-50077-01 / 03-50077-01008) PCIe 4.0 x8 LP, SAS/SATA/NVMe, RAID 0,1,5,6,10,50,60, 8port(1 * int SFF8654), 4GB Cache, 3908ROC, RTL (007479)</t>
        </is>
      </c>
      <c r="E1034" s="2">
        <v>1</v>
      </c>
      <c r="F1034" s="2">
        <v>1</v>
      </c>
      <c r="H1034" s="2">
        <v>1116</v>
      </c>
      <c r="I1034" s="2" t="inlineStr">
        <is>
          <t>$</t>
        </is>
      </c>
      <c r="J1034" s="2">
        <f>HYPERLINK("https://app.astro.lead-studio.pro/product/d1748a31-7410-453c-a7db-7c4711b25cbd")</f>
      </c>
    </row>
    <row r="1035" spans="1:10" customHeight="0">
      <c r="A1035" s="2" t="inlineStr">
        <is>
          <t>Контроллеры (для серверов)</t>
        </is>
      </c>
      <c r="B1035" s="2" t="inlineStr">
        <is>
          <t>Broadcom</t>
        </is>
      </c>
      <c r="C1035" s="2" t="inlineStr">
        <is>
          <t>05-50077-01009 / 03-50077-01009</t>
        </is>
      </c>
      <c r="D1035" s="2" t="inlineStr">
        <is>
          <t>RAID-контроллер Broadcom MegaRAID 9560-8I SGL (05-50077-01 / 03-50077-01009) PCIe 4.0 x8 LP, SAS/SATA/NVMe, RAID 0,1,5,6,10,50,60, 8port(1 * int SFF8654), 4GB Cache, 3908ROC, RTL (007479)</t>
        </is>
      </c>
      <c r="E1035" s="2">
        <v>20</v>
      </c>
      <c r="F1035" s="2">
        <v>20</v>
      </c>
      <c r="H1035" s="2">
        <v>1019</v>
      </c>
      <c r="I1035" s="2" t="inlineStr">
        <is>
          <t>$</t>
        </is>
      </c>
      <c r="J1035" s="2">
        <f>HYPERLINK("https://app.astro.lead-studio.pro/product/7416d25e-0487-4337-a05f-6e995c2dccde")</f>
      </c>
    </row>
    <row r="1036" spans="1:10" customHeight="0">
      <c r="A1036" s="2" t="inlineStr">
        <is>
          <t>Контроллеры (для серверов)</t>
        </is>
      </c>
      <c r="B1036" s="2" t="inlineStr">
        <is>
          <t>Broadcom</t>
        </is>
      </c>
      <c r="C1036" s="2" t="inlineStr">
        <is>
          <t>05-50077-01010 / 03-50077-01010</t>
        </is>
      </c>
      <c r="D1036" s="2" t="inlineStr">
        <is>
          <t>RAID-контроллер Broadcom MegaRAID 9560-8I SGL (05-50077-01 / 03-50077-01010) PCIe 4.0 x8 LP, SAS/SATA/NVMe, RAID 0,1,5,6,10,50,60, 8port(1 * int SFF8654), 4GB Cache, 3908ROC, RTL (007479)</t>
        </is>
      </c>
      <c r="E1036" s="2">
        <v>14</v>
      </c>
      <c r="F1036" s="2">
        <v>14</v>
      </c>
      <c r="H1036" s="2">
        <v>1119</v>
      </c>
      <c r="I1036" s="2" t="inlineStr">
        <is>
          <t>$</t>
        </is>
      </c>
      <c r="J1036" s="2">
        <f>HYPERLINK("https://app.astro.lead-studio.pro/product/bb382374-4fe3-4cf2-845f-8755ab11b3a6")</f>
      </c>
    </row>
    <row r="1037" spans="1:10" customHeight="0">
      <c r="A1037" s="2" t="inlineStr">
        <is>
          <t>Контроллеры (для серверов)</t>
        </is>
      </c>
      <c r="B1037" s="2" t="inlineStr">
        <is>
          <t>Broadcom</t>
        </is>
      </c>
      <c r="C1037" s="2" t="inlineStr">
        <is>
          <t>05-50077-01012 / 03-50077-01005</t>
        </is>
      </c>
      <c r="D1037" s="2" t="inlineStr">
        <is>
          <t>RAID-контроллер Broadcom 9560-8I SGL (05-50077-01 / 05-50077-01012 / 03-50077-01005) PCIe 4.0 x8 LP, SAS/SATA/NVMe, RAID 0,1,5,6,10,50,60, 8port(1 * int SFF8654), 4GB Cache, 3908ROC, RTL  (R8i) (007479)</t>
        </is>
      </c>
      <c r="E1037" s="2">
        <v>20</v>
      </c>
      <c r="F1037" s="2">
        <v>20</v>
      </c>
      <c r="H1037" s="2">
        <v>1033</v>
      </c>
      <c r="I1037" s="2" t="inlineStr">
        <is>
          <t>$</t>
        </is>
      </c>
      <c r="J1037" s="2">
        <f>HYPERLINK("https://app.astro.lead-studio.pro/product/7f0afd99-b124-4c7c-9876-7e9f5b403de7")</f>
      </c>
    </row>
    <row r="1038" spans="1:10" customHeight="0">
      <c r="A1038" s="2" t="inlineStr">
        <is>
          <t>Контроллеры (для серверов)</t>
        </is>
      </c>
      <c r="B1038" s="2" t="inlineStr">
        <is>
          <t>Broadcom</t>
        </is>
      </c>
      <c r="C1038" s="2" t="inlineStr">
        <is>
          <t>05-50107-00003 / 03-50107-00003</t>
        </is>
      </c>
      <c r="D1038" s="2" t="inlineStr">
        <is>
          <t>RAID-контроллер Broadcom 9660-16i SGL (05-50107-00 / 05-50107-00003 / 03-50107-00003) , PCIe 4.0 x8, LP, 24G SAS/SATA/NVMe, RAID 0,1,5,6,10,50,60, 16port(2x8 SFF-8654), 4GB Cache, SAS4116 ROC, RTL </t>
        </is>
      </c>
      <c r="E1038" s="2">
        <v>16</v>
      </c>
      <c r="F1038" s="2">
        <v>16</v>
      </c>
      <c r="H1038" s="2">
        <v>2088</v>
      </c>
      <c r="I1038" s="2" t="inlineStr">
        <is>
          <t>$</t>
        </is>
      </c>
      <c r="J1038" s="2">
        <f>HYPERLINK("https://app.astro.lead-studio.pro/product/3a6cccfa-4abc-46d9-9776-7c965d81ace6")</f>
      </c>
    </row>
    <row r="1039" spans="1:10" customHeight="0">
      <c r="A1039" s="2" t="inlineStr">
        <is>
          <t>Контроллеры (для серверов)</t>
        </is>
      </c>
      <c r="B1039" s="2" t="inlineStr">
        <is>
          <t>Broadcom</t>
        </is>
      </c>
      <c r="C1039" s="2" t="inlineStr">
        <is>
          <t>05-50107-00003 / 03-50107-00003||bp</t>
        </is>
      </c>
      <c r="D1039" s="2" t="inlineStr">
        <is>
          <t>RAID-контроллер Broadcom Bad Pack 9660-16i SGL (05-50107-00) , PCIe 4.0 x8, LP, 24G SAS/SATA/NVMe, RAID 0,1,5,6,10,50,60, 16port(2x8 SFF-8654), 4GB Cache, SAS4116 ROC, RTL  bp</t>
        </is>
      </c>
      <c r="E1039" s="2">
        <v>1</v>
      </c>
      <c r="F1039" s="2">
        <v>1</v>
      </c>
      <c r="H1039" s="2">
        <v>1929</v>
      </c>
      <c r="I1039" s="2" t="inlineStr">
        <is>
          <t>$</t>
        </is>
      </c>
      <c r="J1039" s="2">
        <f>HYPERLINK("https://app.astro.lead-studio.pro/product/50e2847c-948e-442e-aa89-f4f9d6b09d5d")</f>
      </c>
    </row>
    <row r="1040" spans="1:10" customHeight="0">
      <c r="A1040" s="2" t="inlineStr">
        <is>
          <t>Контроллеры (для серверов)</t>
        </is>
      </c>
      <c r="B1040" s="2" t="inlineStr">
        <is>
          <t>Broadcom</t>
        </is>
      </c>
      <c r="C1040" s="2" t="inlineStr">
        <is>
          <t>05-50108-00</t>
        </is>
      </c>
      <c r="D1040" s="2" t="inlineStr">
        <is>
          <t>HBA-адаптер Broadcom 9600W-16e SGL (05-50108-00)  PCIe Gen4 x16 LP, Tri-Mode SAS/SATA/NVMe 24G HBA, 16port(4*ext SFF8644)</t>
        </is>
      </c>
      <c r="E1040" s="2">
        <v>1</v>
      </c>
      <c r="F1040" s="2">
        <v>1</v>
      </c>
      <c r="H1040" s="2">
        <v>1892</v>
      </c>
      <c r="I1040" s="2" t="inlineStr">
        <is>
          <t>$</t>
        </is>
      </c>
      <c r="J1040" s="2">
        <f>HYPERLINK("https://app.astro.lead-studio.pro/product/d5dd7f1d-e1f6-4a54-a872-45b2332177db")</f>
      </c>
    </row>
    <row r="1041" spans="1:10" customHeight="0">
      <c r="A1041" s="2" t="inlineStr">
        <is>
          <t>Контроллеры (для серверов)</t>
        </is>
      </c>
      <c r="B1041" s="2" t="inlineStr">
        <is>
          <t>Broadcom</t>
        </is>
      </c>
      <c r="C1041" s="2" t="inlineStr">
        <is>
          <t>05-50111-00</t>
        </is>
      </c>
      <c r="D1041" s="2" t="inlineStr">
        <is>
          <t>HBA-адаптер Broadcom 9600-16i SGL (05-50111-00)  PCIe v4 x8 LP, Tri-Mode SAS/SATA/NVMe 24G HBA, 16port (2*int SFF8654), SAS4016 IOC, RTL</t>
        </is>
      </c>
      <c r="E1041" s="2">
        <v>2</v>
      </c>
      <c r="F1041" s="2">
        <v>2</v>
      </c>
      <c r="H1041" s="2">
        <v>1340</v>
      </c>
      <c r="I1041" s="2" t="inlineStr">
        <is>
          <t>$</t>
        </is>
      </c>
      <c r="J1041" s="2">
        <f>HYPERLINK("https://app.astro.lead-studio.pro/product/b293ffee-be0e-4767-9a6d-13f273dcc44e")</f>
      </c>
    </row>
    <row r="1042" spans="1:10" customHeight="0">
      <c r="A1042" s="2" t="inlineStr">
        <is>
          <t>Контроллеры (для серверов)</t>
        </is>
      </c>
      <c r="B1042" s="2" t="inlineStr">
        <is>
          <t>Broadcom</t>
        </is>
      </c>
      <c r="C1042" s="2" t="inlineStr">
        <is>
          <t>05-50111-02001 / 03-50111-02001</t>
        </is>
      </c>
      <c r="D1042" s="2" t="inlineStr">
        <is>
          <t>HBA-адаптер Broadcom 9620-16i SGL (05-50111-02001 / 03-50111-02001) PCIe v4 x8 LP, Tri-Mode SAS/SATA/NVMe 24G eHBA, 16port (2*int SFF8654), RAID 0/1/10, SAS4016 IOC, RTL</t>
        </is>
      </c>
      <c r="E1042" s="2">
        <v>10</v>
      </c>
      <c r="F1042" s="2">
        <v>10</v>
      </c>
      <c r="H1042" s="2">
        <v>943</v>
      </c>
      <c r="I1042" s="2" t="inlineStr">
        <is>
          <t>$</t>
        </is>
      </c>
      <c r="J1042" s="2">
        <f>HYPERLINK("https://app.astro.lead-studio.pro/product/3d8d13c3-ac39-44ef-a7c9-a220e4b62605")</f>
      </c>
    </row>
    <row r="1043" spans="1:10" customHeight="0">
      <c r="A1043" s="2" t="inlineStr">
        <is>
          <t>Контроллеры (для серверов)</t>
        </is>
      </c>
      <c r="B1043" s="2" t="inlineStr">
        <is>
          <t>Broadcom</t>
        </is>
      </c>
      <c r="C1043" s="2" t="inlineStr">
        <is>
          <t>05-50113-00003 / 03-50113-00002</t>
        </is>
      </c>
      <c r="D1043" s="2" t="inlineStr">
        <is>
          <t>RAID-контроллер Broadcom 9670W-16i SGL (05-50113-00003 / 03-50113-00002) , PCIe 4.0 x16,  Full Height, 24G SAS/SATA/NVMe, RAID 0,1,5,6,10,50,60, 16port(2x8 SFF-8654), 8GB Cache, SAS4116W ROC, RTL </t>
        </is>
      </c>
      <c r="E1043" s="2">
        <v>10</v>
      </c>
      <c r="F1043" s="2">
        <v>10</v>
      </c>
      <c r="H1043" s="2">
        <v>2547</v>
      </c>
      <c r="I1043" s="2" t="inlineStr">
        <is>
          <t>$</t>
        </is>
      </c>
      <c r="J1043" s="2">
        <f>HYPERLINK("https://app.astro.lead-studio.pro/product/9e5643d3-cf78-4557-9471-1fdbe93a4c06")</f>
      </c>
    </row>
    <row r="1044" spans="1:10" customHeight="0">
      <c r="A1044" s="2" t="inlineStr">
        <is>
          <t>Контроллеры (для серверов)</t>
        </is>
      </c>
      <c r="B1044" s="2" t="inlineStr">
        <is>
          <t>Broadcom</t>
        </is>
      </c>
      <c r="C1044" s="2" t="inlineStr">
        <is>
          <t>05-50137-00001 / 03-50137-00001</t>
        </is>
      </c>
      <c r="D1044" s="2" t="inlineStr">
        <is>
          <t>RAID-контроллер Broadcom 9562-16i SGL ( 05-50137-00 / 05-50137-00001 / 03-50137-00001) OCP 3.0, RAID 0,1,5,6,10,50,60, 16port (2 * int SFF8654), 8GB Cache, 3916ROC, RTL</t>
        </is>
      </c>
      <c r="E1044" s="2">
        <v>8</v>
      </c>
      <c r="F1044" s="2">
        <v>8</v>
      </c>
      <c r="H1044" s="2">
        <v>1741</v>
      </c>
      <c r="I1044" s="2" t="inlineStr">
        <is>
          <t>$</t>
        </is>
      </c>
      <c r="J1044" s="2">
        <f>HYPERLINK("https://app.astro.lead-studio.pro/product/9fe54a6e-0596-4739-9028-55b317874a5e")</f>
      </c>
    </row>
    <row r="1045" spans="1:10" customHeight="0">
      <c r="A1045" s="2" t="inlineStr">
        <is>
          <t>Контроллеры (для серверов)</t>
        </is>
      </c>
      <c r="B1045" s="2" t="inlineStr">
        <is>
          <t>Broadcom</t>
        </is>
      </c>
      <c r="C1045" s="2" t="inlineStr">
        <is>
          <t>05-50137-02</t>
        </is>
      </c>
      <c r="D1045" s="2" t="inlineStr">
        <is>
          <t>HBA-адаптер Broadcom SAS 9502-16i SGL () OCP 3.0, PCIe v4 x8, Tri-Mode SAS/SATA/NVMe 12G HBA, 16port(2*int SFF8654), 3816 IOC, SGL {5} (007493)</t>
        </is>
      </c>
      <c r="E1045" s="2">
        <v>7</v>
      </c>
      <c r="F1045" s="2">
        <v>7</v>
      </c>
      <c r="H1045" s="2">
        <v>1562</v>
      </c>
      <c r="I1045" s="2" t="inlineStr">
        <is>
          <t>$</t>
        </is>
      </c>
      <c r="J1045" s="2">
        <f>HYPERLINK("https://app.astro.lead-studio.pro/product/cd2ab5de-b8ad-4f04-b1df-4cc3b9c115a0")</f>
      </c>
    </row>
    <row r="1046" spans="1:10" customHeight="0">
      <c r="A1046" s="2" t="inlineStr">
        <is>
          <t>Контроллеры (для серверов)</t>
        </is>
      </c>
      <c r="B1046" s="2" t="inlineStr">
        <is>
          <t>Broadcom</t>
        </is>
      </c>
      <c r="C1046" s="2" t="inlineStr">
        <is>
          <t>05-50145-00 / P3-50145-01001</t>
        </is>
      </c>
      <c r="D1046" s="2" t="inlineStr">
        <is>
          <t>HBA-адаптер Broadcom 9600-8i8e SGL (05-50145-00 / P3-50145-01001) PCIe v4 x8 LP, Tri-Mode SAS/SATA/NVMe 24G HBA, 16port (1*int SFF8654, 2*ext SFF8674), RTL</t>
        </is>
      </c>
      <c r="E1046" s="2">
        <v>1</v>
      </c>
      <c r="F1046" s="2">
        <v>1</v>
      </c>
      <c r="H1046" s="2">
        <v>1849</v>
      </c>
      <c r="I1046" s="2" t="inlineStr">
        <is>
          <t>$</t>
        </is>
      </c>
      <c r="J1046" s="2">
        <f>HYPERLINK("https://app.astro.lead-studio.pro/product/57db3158-1d7e-4e51-abea-79f9534aadf8")</f>
      </c>
    </row>
    <row r="1047" spans="1:10" customHeight="0">
      <c r="A1047" s="2" t="inlineStr">
        <is>
          <t>Контроллеры (для серверов)</t>
        </is>
      </c>
      <c r="B1047" s="2" t="inlineStr">
        <is>
          <t>Broadcom</t>
        </is>
      </c>
      <c r="C1047" s="2" t="inlineStr">
        <is>
          <t>05-50148-00003 / 03-50148-00001</t>
        </is>
      </c>
      <c r="D1047" s="2" t="inlineStr">
        <is>
          <t>RAID-контроллер Broadcom 9540-2M2 SGL (05-50148-00)  PCIe v4 x8 LP, Tri-Mode SATA/NVMe 12G RAID 0,1, 2x M.2 slots, 3808 IOC, RTL </t>
        </is>
      </c>
      <c r="E1047" s="2">
        <v>17</v>
      </c>
      <c r="F1047" s="2">
        <v>17</v>
      </c>
      <c r="H1047" s="2">
        <v>1171</v>
      </c>
      <c r="I1047" s="2" t="inlineStr">
        <is>
          <t>$</t>
        </is>
      </c>
      <c r="J1047" s="2">
        <f>HYPERLINK("https://app.astro.lead-studio.pro/product/9ae70b90-72bf-49a1-9407-e0945c2e5ac0")</f>
      </c>
    </row>
    <row r="1048" spans="1:10" customHeight="0">
      <c r="A1048" s="2" t="inlineStr">
        <is>
          <t>Контроллеры (для серверов)</t>
        </is>
      </c>
      <c r="B1048" s="2" t="inlineStr">
        <is>
          <t>MICROCHIP</t>
        </is>
      </c>
      <c r="C1048" s="2" t="inlineStr">
        <is>
          <t>2290200-R</t>
        </is>
      </c>
      <c r="D1048" s="2" t="inlineStr">
        <is>
          <t>RAID-контроллер Microsemi Adaptec SmartRAID 3152-8i (2290200-R) PCI Express 3.0 x8, SAS-3 12 Гб/с, 2GB, 2хSFF8643 internal</t>
        </is>
      </c>
      <c r="E1048" s="2">
        <v>7</v>
      </c>
      <c r="F1048" s="2">
        <v>7</v>
      </c>
      <c r="H1048" s="2">
        <v>820</v>
      </c>
      <c r="I1048" s="2" t="inlineStr">
        <is>
          <t>$</t>
        </is>
      </c>
      <c r="J1048" s="2">
        <f>HYPERLINK("https://app.astro.lead-studio.pro/product/ef0c2617-a81b-424f-b6d5-33b869915e8b")</f>
      </c>
    </row>
    <row r="1049" spans="1:10" customHeight="0">
      <c r="A1049" s="2" t="inlineStr">
        <is>
          <t>Контроллеры (для серверов)</t>
        </is>
      </c>
      <c r="B1049" s="2" t="inlineStr">
        <is>
          <t>MICROCHIP</t>
        </is>
      </c>
      <c r="C1049" s="2" t="inlineStr">
        <is>
          <t>2294700-R</t>
        </is>
      </c>
      <c r="D1049" s="2" t="inlineStr">
        <is>
          <t>RAID-контроллер Microsemi Adaptec SmartRAID 3154-24i (2294700-R) PCI Express 3.0 x8, SAS-3 12 Гб/с, 4GB, 6хSFF8643 internal, батарейка в комплекте (157909)</t>
        </is>
      </c>
      <c r="E1049" s="2">
        <v>2</v>
      </c>
      <c r="F1049" s="2">
        <v>2</v>
      </c>
      <c r="H1049" s="2">
        <v>1591</v>
      </c>
      <c r="I1049" s="2" t="inlineStr">
        <is>
          <t>$</t>
        </is>
      </c>
      <c r="J1049" s="2">
        <f>HYPERLINK("https://app.astro.lead-studio.pro/product/22a4da05-8004-4620-889a-9fa25c857f1b")</f>
      </c>
    </row>
    <row r="1050" spans="1:10" customHeight="0">
      <c r="A1050" s="2" t="inlineStr">
        <is>
          <t>Контроллеры (для серверов)</t>
        </is>
      </c>
      <c r="B1050" s="2" t="inlineStr">
        <is>
          <t>MICROCHIP</t>
        </is>
      </c>
      <c r="C1050" s="2" t="inlineStr">
        <is>
          <t>2294800-R</t>
        </is>
      </c>
      <c r="D1050" s="2" t="inlineStr">
        <is>
          <t>RAID-контроллер Microsemi Adaptec SmartRAID 3102-8i (2294800-R) PCI Express 3.0 x8, SAS-3 12 Гб/с, 2GB, 2хSFF8643 internal</t>
        </is>
      </c>
      <c r="E1050" s="2">
        <v>3</v>
      </c>
      <c r="F1050" s="2">
        <v>3</v>
      </c>
      <c r="H1050" s="2">
        <v>766</v>
      </c>
      <c r="I1050" s="2" t="inlineStr">
        <is>
          <t>$</t>
        </is>
      </c>
      <c r="J1050" s="2">
        <f>HYPERLINK("https://app.astro.lead-studio.pro/product/c9751538-10dc-468f-acb2-99a219845f12")</f>
      </c>
    </row>
    <row r="1051" spans="1:10" customHeight="0">
      <c r="A1051" s="2" t="inlineStr">
        <is>
          <t>Контроллеры (для серверов)</t>
        </is>
      </c>
      <c r="B1051" s="2" t="inlineStr">
        <is>
          <t>Lenovo</t>
        </is>
      </c>
      <c r="C1051" s="2" t="inlineStr">
        <is>
          <t>4Y37A72483</t>
        </is>
      </c>
      <c r="D1051" s="2" t="inlineStr">
        <is>
          <t>Контроллер Lenovo 4Y37A72483 ThinkSystem RAID 9350-8i 2GB Flash PCIe 12Gb Adapter</t>
        </is>
      </c>
      <c r="E1051" s="2">
        <v>17</v>
      </c>
      <c r="F1051" s="2">
        <v>17</v>
      </c>
      <c r="H1051" s="2">
        <v>759</v>
      </c>
      <c r="I1051" s="2" t="inlineStr">
        <is>
          <t>$</t>
        </is>
      </c>
      <c r="J1051" s="2">
        <f>HYPERLINK("https://app.astro.lead-studio.pro/product/1ab19be6-560f-4d68-8c97-84a30c50290d")</f>
      </c>
    </row>
    <row r="1052" spans="1:10" customHeight="0">
      <c r="A1052" s="2" t="inlineStr">
        <is>
          <t>Контроллеры (для серверов)</t>
        </is>
      </c>
      <c r="B1052" s="2" t="inlineStr">
        <is>
          <t>Lenovo</t>
        </is>
      </c>
      <c r="C1052" s="2" t="inlineStr">
        <is>
          <t>4Y37A72485</t>
        </is>
      </c>
      <c r="D1052" s="2" t="inlineStr">
        <is>
          <t>Контроллер Lenovo 4Y37A72485 ThinkSystem RAID 9350-16i 4GB Flash PCIe 12Gb Adapter</t>
        </is>
      </c>
      <c r="E1052" s="2">
        <v>3</v>
      </c>
      <c r="F1052" s="2">
        <v>3</v>
      </c>
      <c r="H1052" s="2">
        <v>959</v>
      </c>
      <c r="I1052" s="2" t="inlineStr">
        <is>
          <t>$</t>
        </is>
      </c>
      <c r="J1052" s="2">
        <f>HYPERLINK("https://app.astro.lead-studio.pro/product/9266115e-6f0c-4c9a-aae6-f4c4ac85e4f8")</f>
      </c>
    </row>
    <row r="1053" spans="1:10" customHeight="0">
      <c r="A1053" s="2" t="inlineStr">
        <is>
          <t>Контроллеры (для серверов)</t>
        </is>
      </c>
      <c r="B1053" s="2" t="inlineStr">
        <is>
          <t>HPE</t>
        </is>
      </c>
      <c r="C1053" s="2" t="inlineStr">
        <is>
          <t>804394-B21</t>
        </is>
      </c>
      <c r="D1053" s="2" t="inlineStr">
        <is>
          <t>Контроллер HPE Smart Array E208i-p SR Gen10 (8 Internal Lanes/No Cache) 12G SAS PCIe Plug-in Controller </t>
        </is>
      </c>
      <c r="E1053" s="2">
        <v>18</v>
      </c>
      <c r="F1053" s="2">
        <v>18</v>
      </c>
      <c r="H1053" s="2">
        <v>400</v>
      </c>
      <c r="I1053" s="2" t="inlineStr">
        <is>
          <t>$</t>
        </is>
      </c>
      <c r="J1053" s="2">
        <f>HYPERLINK("https://app.astro.lead-studio.pro/product/4507399a-7953-4c87-927b-49613ff63da8")</f>
      </c>
    </row>
    <row r="1054" spans="1:10" customHeight="0">
      <c r="A1054" s="2" t="inlineStr">
        <is>
          <t>Контроллеры (для серверов)</t>
        </is>
      </c>
      <c r="B1054" s="2" t="inlineStr">
        <is>
          <t>HPE</t>
        </is>
      </c>
      <c r="C1054" s="2" t="inlineStr">
        <is>
          <t>804405-B21</t>
        </is>
      </c>
      <c r="D1054" s="2" t="inlineStr">
        <is>
          <t>Контроллер HPE HPE Smart Array P408e-p SR Gen10 (8 External Lanes/4GB Cache) 12G SAS PCIe Plug-in Controller </t>
        </is>
      </c>
      <c r="E1054" s="2">
        <v>6</v>
      </c>
      <c r="F1054" s="2">
        <v>6</v>
      </c>
      <c r="H1054" s="2">
        <v>755</v>
      </c>
      <c r="I1054" s="2" t="inlineStr">
        <is>
          <t>$</t>
        </is>
      </c>
      <c r="J1054" s="2">
        <f>HYPERLINK("https://app.astro.lead-studio.pro/product/389949b0-e4e6-4384-8a19-5e6428f39508")</f>
      </c>
    </row>
    <row r="1055" spans="1:10" customHeight="0">
      <c r="A1055" s="2" t="inlineStr">
        <is>
          <t>Контроллеры (для серверов)</t>
        </is>
      </c>
      <c r="B1055" s="2" t="inlineStr">
        <is>
          <t>HPE</t>
        </is>
      </c>
      <c r="C1055" s="2" t="inlineStr">
        <is>
          <t>830824-B21</t>
        </is>
      </c>
      <c r="D1055" s="2" t="inlineStr">
        <is>
          <t>Контроллер HPE Smart Array P408i-p SR Gen10 (8 Internal Lanes/2GB Cache) 12G SAS PCIe Plug-in Controller </t>
        </is>
      </c>
      <c r="E1055" s="2">
        <v>17</v>
      </c>
      <c r="F1055" s="2">
        <v>17</v>
      </c>
      <c r="H1055" s="2">
        <v>632</v>
      </c>
      <c r="I1055" s="2" t="inlineStr">
        <is>
          <t>$</t>
        </is>
      </c>
      <c r="J1055" s="2">
        <f>HYPERLINK("https://app.astro.lead-studio.pro/product/314b32d2-40f0-4807-ad62-91a223fb2ab0")</f>
      </c>
    </row>
    <row r="1056" spans="1:10" customHeight="0">
      <c r="A1056" s="2" t="inlineStr">
        <is>
          <t>Контроллеры (для серверов)</t>
        </is>
      </c>
      <c r="B1056" s="2" t="inlineStr">
        <is>
          <t>Infortrend</t>
        </is>
      </c>
      <c r="C1056" s="2" t="inlineStr">
        <is>
          <t>83SC21RH12CMB-0010</t>
        </is>
      </c>
      <c r="D1056" s="2" t="inlineStr">
        <is>
          <t>Модуль контроллера Infortrend Controller module for DS2012R2C subsystem w/2GB DDR-III &amp; 1x host board slot, 83SC21RH12CMB</t>
        </is>
      </c>
      <c r="E1056" s="2">
        <v>2</v>
      </c>
      <c r="F1056" s="2">
        <v>2</v>
      </c>
      <c r="H1056" s="2">
        <v>3011</v>
      </c>
      <c r="I1056" s="2" t="inlineStr">
        <is>
          <t>$</t>
        </is>
      </c>
      <c r="J1056" s="2">
        <f>HYPERLINK("https://app.astro.lead-studio.pro/product/8afb9de7-3082-420d-afcd-56bb43d0e214")</f>
      </c>
    </row>
    <row r="1057" spans="1:10" customHeight="0">
      <c r="A1057" s="2" t="inlineStr">
        <is>
          <t>Контроллеры (для серверов)</t>
        </is>
      </c>
      <c r="B1057" s="2" t="inlineStr">
        <is>
          <t>Infortrend</t>
        </is>
      </c>
      <c r="C1057" s="2" t="inlineStr">
        <is>
          <t>83SC30G12UMC-0010</t>
        </is>
      </c>
      <c r="D1057" s="2" t="inlineStr">
        <is>
          <t>Модуль контроллера Infortrend Controller module for DS3012GU subsystem w/4GB DDR-IV &amp; 2x host board slot &amp; 1x (Super capacitor+Flash module), 83SC30G12UMC</t>
        </is>
      </c>
      <c r="E1057" s="2">
        <v>6</v>
      </c>
      <c r="F1057" s="2">
        <v>6</v>
      </c>
      <c r="H1057" s="2">
        <v>3586</v>
      </c>
      <c r="I1057" s="2" t="inlineStr">
        <is>
          <t>$</t>
        </is>
      </c>
      <c r="J1057" s="2">
        <f>HYPERLINK("https://app.astro.lead-studio.pro/product/b0603dd4-473b-42bd-816e-edbdb91d434c")</f>
      </c>
    </row>
    <row r="1058" spans="1:10" customHeight="0">
      <c r="A1058" s="2" t="inlineStr">
        <is>
          <t>Контроллеры (для серверов)</t>
        </is>
      </c>
      <c r="B1058" s="2" t="inlineStr">
        <is>
          <t>ACD</t>
        </is>
      </c>
      <c r="C1058" s="2" t="inlineStr">
        <is>
          <t>ACD 9500-16e</t>
        </is>
      </c>
      <c r="D1058" s="2" t="inlineStr">
        <is>
          <t>HBA-адаптер ACD ACD 9500-16e SGL   PCIe Gen4 x8 LP, Tri-Mode SAS/SATA/NVMe 12G HBA, 16port(4*extSFF8644), 3816 IOC {5}</t>
        </is>
      </c>
      <c r="E1058" s="2">
        <v>2</v>
      </c>
      <c r="F1058" s="2">
        <v>2</v>
      </c>
      <c r="H1058" s="2">
        <v>673</v>
      </c>
      <c r="I1058" s="2" t="inlineStr">
        <is>
          <t>$</t>
        </is>
      </c>
      <c r="J1058" s="2">
        <f>HYPERLINK("https://app.astro.lead-studio.pro/product/aa3814ba-c4fa-458f-949f-5f6998a0afc5")</f>
      </c>
    </row>
    <row r="1059" spans="1:10" customHeight="0">
      <c r="A1059" s="2" t="inlineStr">
        <is>
          <t>Контроллеры (для серверов)</t>
        </is>
      </c>
      <c r="B1059" s="2" t="inlineStr">
        <is>
          <t>SuperMicro</t>
        </is>
      </c>
      <c r="C1059" s="2" t="inlineStr">
        <is>
          <t>AOC-S3008L-L8i</t>
        </is>
      </c>
      <c r="D1059" s="2" t="inlineStr">
        <is>
          <t>Контроллер SuperMicro AOC-S3008L-L8i Broadcom 3008 SAS controller, 8-port (internal), 12Gb/s per port, Supports 63 devices,Supports RAID 0, 1, 1E and 10,Automatically negotiates PCI-E (1.x, 2.x AND 3.X) link widths,Supports 3.0, 6.0 and 12Gb/s SAS and SATA data transfer rates</t>
        </is>
      </c>
      <c r="E1059" s="2">
        <v>2</v>
      </c>
      <c r="F1059" s="2">
        <v>2</v>
      </c>
      <c r="H1059" s="2">
        <v>419</v>
      </c>
      <c r="I1059" s="2" t="inlineStr">
        <is>
          <t>$</t>
        </is>
      </c>
      <c r="J1059" s="2">
        <f>HYPERLINK("https://app.astro.lead-studio.pro/product/b3feb7b5-74c3-495c-b679-c76ee59866db")</f>
      </c>
    </row>
    <row r="1060" spans="1:10" customHeight="0">
      <c r="A1060" s="2" t="inlineStr">
        <is>
          <t>Контроллеры (для серверов)</t>
        </is>
      </c>
      <c r="B1060" s="2" t="inlineStr">
        <is>
          <t>SuperMicro</t>
        </is>
      </c>
      <c r="C1060" s="2" t="inlineStr">
        <is>
          <t>AOC-S3108L-H8IR</t>
        </is>
      </c>
      <c r="D1060" s="2" t="inlineStr">
        <is>
          <t>Контроллер SuperMicro AOC-S3108L-H8IR LSISAS3108 PCI-E3.0x8 2xMini-SAS HD SFF8643(x4) 12 Gb/s 2GB 1866MHz DDR3 SDRAM (143450)</t>
        </is>
      </c>
      <c r="E1060" s="2">
        <v>4</v>
      </c>
      <c r="F1060" s="2">
        <v>4</v>
      </c>
      <c r="H1060" s="2">
        <v>656</v>
      </c>
      <c r="I1060" s="2" t="inlineStr">
        <is>
          <t>$</t>
        </is>
      </c>
      <c r="J1060" s="2">
        <f>HYPERLINK("https://app.astro.lead-studio.pro/product/72a1f923-9917-421a-bb6a-bd30b15395d5")</f>
      </c>
    </row>
    <row r="1061" spans="1:10" customHeight="0">
      <c r="A1061" s="2" t="inlineStr">
        <is>
          <t>Контроллеры (для серверов)</t>
        </is>
      </c>
      <c r="B1061" s="2" t="inlineStr">
        <is>
          <t>SuperMicro</t>
        </is>
      </c>
      <c r="C1061" s="2" t="inlineStr">
        <is>
          <t>AOC-S3816L-L16IT-O</t>
        </is>
      </c>
      <c r="D1061" s="2" t="inlineStr">
        <is>
          <t>Контроллер SuperMicro AOC-S3816L-L16IT-O 16 int 12Gb/s SAS3 ports, x8 Gen4, HBA, LP,  122HDDw/exp</t>
        </is>
      </c>
      <c r="E1061" s="2">
        <v>4</v>
      </c>
      <c r="F1061" s="2">
        <v>4</v>
      </c>
      <c r="H1061" s="2">
        <v>856</v>
      </c>
      <c r="I1061" s="2" t="inlineStr">
        <is>
          <t>$</t>
        </is>
      </c>
      <c r="J1061" s="2">
        <f>HYPERLINK("https://app.astro.lead-studio.pro/product/76241b00-572e-4018-8916-81e5eda7ae4d")</f>
      </c>
    </row>
    <row r="1062" spans="1:10" customHeight="0">
      <c r="A1062" s="2" t="inlineStr">
        <is>
          <t>Контроллеры (для серверов)</t>
        </is>
      </c>
      <c r="B1062" s="2" t="inlineStr">
        <is>
          <t>SuperMicro</t>
        </is>
      </c>
      <c r="C1062" s="2" t="inlineStr">
        <is>
          <t>AOC-S3908L-H8IR-16DD-O</t>
        </is>
      </c>
      <c r="D1062" s="2" t="inlineStr">
        <is>
          <t>RAID-контроллер SuperMicro AOC-S3908L-H8IR-16DD-O 8 internal SAS3 ports, Supports up to 16 physical devices w/expander,1x SlimSAS x8 black (100-Ohm) connector</t>
        </is>
      </c>
      <c r="E1062" s="2">
        <v>4</v>
      </c>
      <c r="F1062" s="2">
        <v>4</v>
      </c>
      <c r="H1062" s="2">
        <v>1065</v>
      </c>
      <c r="I1062" s="2" t="inlineStr">
        <is>
          <t>$</t>
        </is>
      </c>
      <c r="J1062" s="2">
        <f>HYPERLINK("https://app.astro.lead-studio.pro/product/c332fe6a-b925-4ce0-b92b-bb8aece340d3")</f>
      </c>
    </row>
    <row r="1063" spans="1:10" customHeight="0">
      <c r="A1063" s="2" t="inlineStr">
        <is>
          <t>Контроллеры (для серверов)</t>
        </is>
      </c>
      <c r="B1063" s="2" t="inlineStr">
        <is>
          <t>SuperMicro</t>
        </is>
      </c>
      <c r="C1063" s="2" t="inlineStr">
        <is>
          <t>AOC-S3908L-H8IR-32DD-O</t>
        </is>
      </c>
      <c r="D1063" s="2" t="inlineStr">
        <is>
          <t>Контроллер SuperMicro AOC-S3908L-H8IR-32DD-O 8 internal SAS3 ports, Supports up to 32 physical devices w/ expander, 1x SlimSAS x8 black (100-Ohm) connector</t>
        </is>
      </c>
      <c r="E1063" s="2">
        <v>4</v>
      </c>
      <c r="F1063" s="2">
        <v>4</v>
      </c>
      <c r="H1063" s="2">
        <v>1113</v>
      </c>
      <c r="I1063" s="2" t="inlineStr">
        <is>
          <t>$</t>
        </is>
      </c>
      <c r="J1063" s="2">
        <f>HYPERLINK("https://app.astro.lead-studio.pro/product/5bc816a9-3648-47cd-87f8-9c34a2aa1340")</f>
      </c>
    </row>
    <row r="1064" spans="1:10" customHeight="0">
      <c r="A1064" s="2" t="inlineStr">
        <is>
          <t>Контроллеры (для серверов)</t>
        </is>
      </c>
      <c r="B1064" s="2" t="inlineStr">
        <is>
          <t>SuperMicro</t>
        </is>
      </c>
      <c r="C1064" s="2" t="inlineStr">
        <is>
          <t>AOC-S3916L-H16IR-O</t>
        </is>
      </c>
      <c r="D1064" s="2" t="inlineStr">
        <is>
          <t>Контроллер SuperMicro AOC-S3916L-H16IR-O LSISAS3916  PCI-E4.0x8   2xSlimSASx8 SFF8654,  12 Gb/s  8GB, LP</t>
        </is>
      </c>
      <c r="E1064" s="2">
        <v>4</v>
      </c>
      <c r="F1064" s="2">
        <v>4</v>
      </c>
      <c r="H1064" s="2">
        <v>1307</v>
      </c>
      <c r="I1064" s="2" t="inlineStr">
        <is>
          <t>$</t>
        </is>
      </c>
      <c r="J1064" s="2">
        <f>HYPERLINK("https://app.astro.lead-studio.pro/product/8a786467-fc9a-413c-beae-d98cf14df0ef")</f>
      </c>
    </row>
    <row r="1065" spans="1:10" customHeight="0">
      <c r="A1065" s="2" t="inlineStr">
        <is>
          <t>Контроллеры (для серверов)</t>
        </is>
      </c>
      <c r="B1065" s="2" t="inlineStr">
        <is>
          <t>SuperMicro</t>
        </is>
      </c>
      <c r="C1065" s="2" t="inlineStr">
        <is>
          <t>AOC-SLG4-2H8M2-O</t>
        </is>
      </c>
      <c r="D1065" s="2" t="inlineStr">
        <is>
          <t>Supermicro AOC-SLG4-2H8M2-O</t>
        </is>
      </c>
      <c r="E1065" s="2">
        <v>4</v>
      </c>
      <c r="F1065" s="2">
        <v>4</v>
      </c>
      <c r="H1065" s="2">
        <v>424</v>
      </c>
      <c r="I1065" s="2" t="inlineStr">
        <is>
          <t>$</t>
        </is>
      </c>
      <c r="J1065" s="2">
        <f>HYPERLINK("https://app.astro.lead-studio.pro/product/58211fa3-e0a1-464c-8de5-8d7b4af8a26a")</f>
      </c>
    </row>
    <row r="1066" spans="1:10" customHeight="0">
      <c r="A1066" s="2" t="inlineStr">
        <is>
          <t>Контроллеры (для серверов)</t>
        </is>
      </c>
      <c r="B1066" s="2" t="inlineStr">
        <is>
          <t>SuperMicro</t>
        </is>
      </c>
      <c r="C1066" s="2" t="inlineStr">
        <is>
          <t>AOC-SMG3-2M2-B</t>
        </is>
      </c>
      <c r="D1066" s="2" t="inlineStr">
        <is>
          <t>Контроллер SuperMicro AOC-SMG3-2M2-B</t>
        </is>
      </c>
      <c r="E1066" s="2">
        <v>4</v>
      </c>
      <c r="F1066" s="2">
        <v>4</v>
      </c>
      <c r="H1066" s="2">
        <v>613</v>
      </c>
      <c r="I1066" s="2" t="inlineStr">
        <is>
          <t>$</t>
        </is>
      </c>
      <c r="J1066" s="2">
        <f>HYPERLINK("https://app.astro.lead-studio.pro/product/5f749ab7-69f5-4e1c-80a8-77a627f3781f")</f>
      </c>
    </row>
    <row r="1067" spans="1:10" customHeight="0">
      <c r="A1067" s="2" t="inlineStr">
        <is>
          <t>Контроллеры (для серверов)</t>
        </is>
      </c>
      <c r="B1067" s="2" t="inlineStr">
        <is>
          <t>SuperMicro</t>
        </is>
      </c>
      <c r="C1067" s="2" t="inlineStr">
        <is>
          <t>AOM-S3108M-H8</t>
        </is>
      </c>
      <c r="D1067" s="2" t="inlineStr">
        <is>
          <t>Аксессуары SuperMicro AOM-S3108M-H8 Low Profile 12Gb/s Eight-Port SAS Internal RAID Adapter (169160)</t>
        </is>
      </c>
      <c r="E1067" s="2">
        <v>5</v>
      </c>
      <c r="F1067" s="2">
        <v>5</v>
      </c>
      <c r="H1067" s="2">
        <v>790</v>
      </c>
      <c r="I1067" s="2" t="inlineStr">
        <is>
          <t>$</t>
        </is>
      </c>
      <c r="J1067" s="2">
        <f>HYPERLINK("https://app.astro.lead-studio.pro/product/df7bdc03-cc56-468e-87f3-bb0ec49956be")</f>
      </c>
    </row>
    <row r="1068" spans="1:10" customHeight="0">
      <c r="A1068" s="2" t="inlineStr">
        <is>
          <t>Контроллеры (для серверов)</t>
        </is>
      </c>
      <c r="B1068" s="2" t="inlineStr">
        <is>
          <t>Areca</t>
        </is>
      </c>
      <c r="C1068" s="2" t="inlineStr">
        <is>
          <t>ARC-1330-8x</t>
        </is>
      </c>
      <c r="D1068" s="2" t="inlineStr">
        <is>
          <t>HBA-адаптер Areca ARC-1330-8x PCIe 3.0 x8 Low Profile, SAS/SATA 12G, HBA, 8port (2*ext SFF8644), (аналог LSI00343 9300-8E), RTL {10}</t>
        </is>
      </c>
      <c r="E1068" s="2">
        <v>2</v>
      </c>
      <c r="F1068" s="2">
        <v>2</v>
      </c>
      <c r="H1068" s="2">
        <v>410</v>
      </c>
      <c r="I1068" s="2" t="inlineStr">
        <is>
          <t>$</t>
        </is>
      </c>
      <c r="J1068" s="2">
        <f>HYPERLINK("https://app.astro.lead-studio.pro/product/4db28678-8ed6-45c5-a22e-d66d0eda658d")</f>
      </c>
    </row>
    <row r="1069" spans="1:10" customHeight="0">
      <c r="A1069" s="2" t="inlineStr">
        <is>
          <t>Контроллеры (для серверов)</t>
        </is>
      </c>
      <c r="B1069" s="2" t="inlineStr">
        <is>
          <t>Areca</t>
        </is>
      </c>
      <c r="C1069" s="2" t="inlineStr">
        <is>
          <t>ARC-1686-6NOD</t>
        </is>
      </c>
      <c r="D1069" s="2" t="inlineStr">
        <is>
          <t>RAID-контроллер Areca ARC-1686-6NOD PCIe 4.0 x8  Full Height, 6 x M.2 Connector, Tri-mode interface at each M.2 bays - 12Gb/s SAS/SATA / Gen 4.0 PCIe (NVMe), RAID 0,1,10,JBOD, Hold-up Supercapacitor Onboard, RTL</t>
        </is>
      </c>
      <c r="E1069" s="2">
        <v>2</v>
      </c>
      <c r="F1069" s="2">
        <v>2</v>
      </c>
      <c r="H1069" s="2">
        <v>1057</v>
      </c>
      <c r="I1069" s="2" t="inlineStr">
        <is>
          <t>$</t>
        </is>
      </c>
      <c r="J1069" s="2">
        <f>HYPERLINK("https://app.astro.lead-studio.pro/product/e1e1b57b-bed9-4ed2-a686-8b929179f975")</f>
      </c>
    </row>
    <row r="1070" spans="1:10" customHeight="0">
      <c r="A1070" s="2" t="inlineStr">
        <is>
          <t>Контроллеры (для серверов)</t>
        </is>
      </c>
      <c r="B1070" s="2" t="inlineStr">
        <is>
          <t>Areca</t>
        </is>
      </c>
      <c r="C1070" s="2" t="inlineStr">
        <is>
          <t>ARC-1883i</t>
        </is>
      </c>
      <c r="D1070" s="2" t="inlineStr">
        <is>
          <t>RAID-контроллер Areca ARC-1883i PCIe 3.0 x8 Low Profile, SAS/SATA 12G, RAID 0,1,5,6,10,50,60, 8port (2*int SFF8643), Cache 2GB (аналог LSI00462 9361- 8I(2G)), RTL {10} (411314)</t>
        </is>
      </c>
      <c r="E1070" s="2">
        <v>20</v>
      </c>
      <c r="F1070" s="2">
        <v>20</v>
      </c>
      <c r="H1070" s="2">
        <v>490</v>
      </c>
      <c r="I1070" s="2" t="inlineStr">
        <is>
          <t>$</t>
        </is>
      </c>
      <c r="J1070" s="2">
        <f>HYPERLINK("https://app.astro.lead-studio.pro/product/f467da47-d495-48ca-a3f3-610fe64a15ed")</f>
      </c>
    </row>
    <row r="1071" spans="1:10" customHeight="0">
      <c r="A1071" s="2" t="inlineStr">
        <is>
          <t>Контроллеры (для серверов)</t>
        </is>
      </c>
      <c r="B1071" s="2" t="inlineStr">
        <is>
          <t>Areca</t>
        </is>
      </c>
      <c r="C1071" s="2" t="inlineStr">
        <is>
          <t>ARC-1883ix-12</t>
        </is>
      </c>
      <c r="D1071" s="2" t="inlineStr">
        <is>
          <t>RAID-контроллер Areca ARC-1883ix-12 PCIe 3.0 x8 Full Profile, SAS/SATA 12G, RAID 0,1,5,6,10,50,60, 16port (3*int SFF8643 + 1*ext SFF8644), Cache 2GB (up to 8GB), RTL {5} (411338)</t>
        </is>
      </c>
      <c r="E1071" s="2">
        <v>20</v>
      </c>
      <c r="F1071" s="2">
        <v>20</v>
      </c>
      <c r="H1071" s="2">
        <v>608</v>
      </c>
      <c r="I1071" s="2" t="inlineStr">
        <is>
          <t>$</t>
        </is>
      </c>
      <c r="J1071" s="2">
        <f>HYPERLINK("https://app.astro.lead-studio.pro/product/5377c173-944a-41d7-84a5-9ade35bced4b")</f>
      </c>
    </row>
    <row r="1072" spans="1:10" customHeight="0">
      <c r="A1072" s="2" t="inlineStr">
        <is>
          <t>Контроллеры (для серверов)</t>
        </is>
      </c>
      <c r="B1072" s="2" t="inlineStr">
        <is>
          <t>Areca</t>
        </is>
      </c>
      <c r="C1072" s="2" t="inlineStr">
        <is>
          <t>ARC-1883ix-24</t>
        </is>
      </c>
      <c r="D1072" s="2" t="inlineStr">
        <is>
          <t>RAID-контроллер Areca ARC-1883ix-24 PCIe 3.0 x8 Full Profile, SAS/SATA 12G, RAID 0,1,5,6,10,50,60, 28port (6*int SFF8643 + 1*ext SFF8644), Cache 2GB (up to 8GB), RTL {5}</t>
        </is>
      </c>
      <c r="E1072" s="2">
        <v>1</v>
      </c>
      <c r="F1072" s="2">
        <v>1</v>
      </c>
      <c r="H1072" s="2">
        <v>1712</v>
      </c>
      <c r="I1072" s="2" t="inlineStr">
        <is>
          <t>$</t>
        </is>
      </c>
      <c r="J1072" s="2">
        <f>HYPERLINK("https://app.astro.lead-studio.pro/product/ac1c8870-49ff-4c49-989e-cf88314165ab")</f>
      </c>
    </row>
    <row r="1073" spans="1:10" customHeight="0">
      <c r="A1073" s="2" t="inlineStr">
        <is>
          <t>Контроллеры (для серверов)</t>
        </is>
      </c>
      <c r="B1073" s="2" t="inlineStr">
        <is>
          <t>Areca</t>
        </is>
      </c>
      <c r="C1073" s="2" t="inlineStr">
        <is>
          <t>ARC-1886-16I</t>
        </is>
      </c>
      <c r="D1073" s="2" t="inlineStr">
        <is>
          <t>RAID-контроллер Areca ARC-1886-16I PCIe 4.0 x8 Low Profile, NVMe/SAS/SATA 12G, RAID 0,1,5,6,10,50,60, 16port (2*int SFF8654 x8), Cache 8GB (аналог LSI 9560-16i 05-50077-00) RTL {5} (412113)</t>
        </is>
      </c>
      <c r="E1073" s="2">
        <v>17</v>
      </c>
      <c r="F1073" s="2">
        <v>17</v>
      </c>
      <c r="H1073" s="2">
        <v>1174</v>
      </c>
      <c r="I1073" s="2" t="inlineStr">
        <is>
          <t>$</t>
        </is>
      </c>
      <c r="J1073" s="2">
        <f>HYPERLINK("https://app.astro.lead-studio.pro/product/6f5ed463-61c3-41e4-88a2-76674130a4d0")</f>
      </c>
    </row>
    <row r="1074" spans="1:10" customHeight="0">
      <c r="A1074" s="2" t="inlineStr">
        <is>
          <t>Контроллеры (для серверов)</t>
        </is>
      </c>
      <c r="B1074" s="2" t="inlineStr">
        <is>
          <t>Areca</t>
        </is>
      </c>
      <c r="C1074" s="2" t="inlineStr">
        <is>
          <t>ARC-1886-8I</t>
        </is>
      </c>
      <c r="D1074" s="2" t="inlineStr">
        <is>
          <t>RAID-контроллер Areca ARC-1886-8I PCIe 4.0 x8 Low Profile, NVMe/SAS/SATA 12G, RAID 0,1,5,6,10,50,60, 8port (1*int SFF8654 x8), Cache 8GB (аналог LSI 9560-8i 05-50077-01), RTL {10} (412106)</t>
        </is>
      </c>
      <c r="E1074" s="2">
        <v>7</v>
      </c>
      <c r="F1074" s="2">
        <v>7</v>
      </c>
      <c r="H1074" s="2">
        <v>1164</v>
      </c>
      <c r="I1074" s="2" t="inlineStr">
        <is>
          <t>$</t>
        </is>
      </c>
      <c r="J1074" s="2">
        <f>HYPERLINK("https://app.astro.lead-studio.pro/product/16658087-7d4f-4dd0-b427-fe65c6527784")</f>
      </c>
    </row>
    <row r="1075" spans="1:10" customHeight="0">
      <c r="A1075" s="2" t="inlineStr">
        <is>
          <t>Контроллеры (для серверов)</t>
        </is>
      </c>
      <c r="B1075" s="2" t="inlineStr">
        <is>
          <t>Infortrend</t>
        </is>
      </c>
      <c r="C1075" s="2" t="inlineStr">
        <is>
          <t>GS3012R03C0FD-8U32</t>
        </is>
      </c>
      <c r="D1075" s="2" t="inlineStr">
        <is>
          <t>Платформа СХД Infortrend EonStor GS3012R03C0FD-8U32 (12x3.5, 2U, High IOPS, Dual Redundant Controllers (incl: 4x4GB Cache, 4x25Gb SFP28, 4 FREE host board slots, 4x12Gb SAS ext ports, 2x Super capacitor+Flash+FAN module, 2x530W), Rackmount kit)</t>
        </is>
      </c>
      <c r="E1075" s="2">
        <v>1</v>
      </c>
      <c r="F1075" s="2">
        <v>1</v>
      </c>
      <c r="H1075" s="2">
        <v>15280</v>
      </c>
      <c r="I1075" s="2" t="inlineStr">
        <is>
          <t>$</t>
        </is>
      </c>
      <c r="J1075" s="2">
        <f>HYPERLINK("https://app.astro.lead-studio.pro/product/63a734ef-b780-4ed9-b80f-32894ffbddb0")</f>
      </c>
    </row>
    <row r="1076" spans="1:10" customHeight="0">
      <c r="A1076" s="2" t="inlineStr">
        <is>
          <t>Контроллеры (для серверов)</t>
        </is>
      </c>
      <c r="B1076" s="2" t="inlineStr">
        <is>
          <t>Infortrend</t>
        </is>
      </c>
      <c r="C1076" s="2" t="inlineStr">
        <is>
          <t>GSEP1050000C-8U32</t>
        </is>
      </c>
      <c r="D1076" s="2" t="inlineStr">
        <is>
          <t>Платформа СХД Infortrend EonStor GSe Pro 100 5bay. desktop cloud-integrated unified storage, supports NAS, SAN, object protocol and Cloud gateway, including Intel Atom 2.4GHz 4C CPU, 1x4GB non-ECC, 4x1GbE(RJ45), 2x USB 2.0, 2x USB 3.0, 1x Host Board slot, 1xPSU and 5 drive trays</t>
        </is>
      </c>
      <c r="E1076" s="2">
        <v>3</v>
      </c>
      <c r="F1076" s="2">
        <v>3</v>
      </c>
      <c r="H1076" s="2">
        <v>1001</v>
      </c>
      <c r="I1076" s="2" t="inlineStr">
        <is>
          <t>$</t>
        </is>
      </c>
      <c r="J1076" s="2">
        <f>HYPERLINK("https://app.astro.lead-studio.pro/product/381c7bd0-03fe-4a4e-9059-d7aa88e3a57a")</f>
      </c>
    </row>
    <row r="1077" spans="1:10" customHeight="0">
      <c r="A1077" s="2" t="inlineStr">
        <is>
          <t>Контроллеры (для серверов)</t>
        </is>
      </c>
      <c r="B1077" s="2" t="inlineStr">
        <is>
          <t>HPE</t>
        </is>
      </c>
      <c r="C1077" s="2" t="inlineStr">
        <is>
          <t>P26325-B21</t>
        </is>
      </c>
      <c r="D1077" s="2" t="inlineStr">
        <is>
          <t>Контроллер HPE Broadcom MegaRAID MR216i-a x16 Lanes without Cache NVMe/SAS 12G Controller for HPE Gen10 Plus </t>
        </is>
      </c>
      <c r="E1077" s="2">
        <v>9</v>
      </c>
      <c r="F1077" s="2">
        <v>9</v>
      </c>
      <c r="H1077" s="2">
        <v>692</v>
      </c>
      <c r="I1077" s="2" t="inlineStr">
        <is>
          <t>$</t>
        </is>
      </c>
      <c r="J1077" s="2">
        <f>HYPERLINK("https://app.astro.lead-studio.pro/product/9c57df4f-6b3f-49ff-8809-f9de7a76f4a3")</f>
      </c>
    </row>
    <row r="1078" spans="1:10" customHeight="0">
      <c r="A1078" s="2" t="inlineStr">
        <is>
          <t>Корпуса для Tower серверов</t>
        </is>
      </c>
      <c r="B1078" s="2" t="inlineStr">
        <is>
          <t>In-Win</t>
        </is>
      </c>
      <c r="C1078" s="2" t="inlineStr">
        <is>
          <t>6190473</t>
        </is>
      </c>
      <c r="D1078" s="2" t="inlineStr">
        <is>
          <t>Корпус In-Win PE689BL  B65E 650W 80plus Bronze USB3.0*2+A(HD)+front fan 120mm*1+rear fan 120mm*1+ 2*2SATA+1*1SATA / SK34-02 HDD storage kit (12G BP)*1/holes for SL20” RACKMOUNT INWIN</t>
        </is>
      </c>
      <c r="E1078" s="2">
        <v>5</v>
      </c>
      <c r="F1078" s="2">
        <v>5</v>
      </c>
      <c r="H1078" s="2">
        <v>326</v>
      </c>
      <c r="I1078" s="2" t="inlineStr">
        <is>
          <t>$</t>
        </is>
      </c>
      <c r="J1078" s="2">
        <f>HYPERLINK("https://app.astro.lead-studio.pro/product/aa06fb58-00c1-4121-916b-78417be5e5bd")</f>
      </c>
    </row>
    <row r="1079" spans="1:10" customHeight="0">
      <c r="A1079" s="2" t="inlineStr">
        <is>
          <t>Корпуса для Tower серверов</t>
        </is>
      </c>
      <c r="B1079" s="2" t="inlineStr">
        <is>
          <t>In-Win</t>
        </is>
      </c>
      <c r="C1079" s="2" t="inlineStr">
        <is>
          <t>6190481</t>
        </is>
      </c>
      <c r="D1079" s="2" t="inlineStr">
        <is>
          <t>Корпус In-Win PL052 1200W Acbel R1CA2122A-P Platinum*2/PDB AcBel R2CU5162A/ USB3.0+A(HD)/ADDA 120*5mm rear fan*1 , footstand*1set, side panel with key*1/ SK23-02 HDD storage kit (12GBP)*2/SL23”/handle ASSY (2PCS/1PAIR)/Dual easy swap SATA port module*2/Single easy swap SATA</t>
        </is>
      </c>
      <c r="E1079" s="2">
        <v>10</v>
      </c>
      <c r="F1079" s="2">
        <v>10</v>
      </c>
      <c r="H1079" s="2">
        <v>1073</v>
      </c>
      <c r="I1079" s="2" t="inlineStr">
        <is>
          <t>$</t>
        </is>
      </c>
      <c r="J1079" s="2">
        <f>HYPERLINK("https://app.astro.lead-studio.pro/product/b3e75ca3-10d2-477f-966f-85feeaefe3aa")</f>
      </c>
    </row>
    <row r="1080" spans="1:10" customHeight="0">
      <c r="A1080" s="2" t="inlineStr">
        <is>
          <t>Корпуса для Tower серверов</t>
        </is>
      </c>
      <c r="B1080" s="2" t="inlineStr">
        <is>
          <t>In-Win</t>
        </is>
      </c>
      <c r="C1080" s="2" t="inlineStr">
        <is>
          <t>6190482</t>
        </is>
      </c>
      <c r="D1080" s="2" t="inlineStr">
        <is>
          <t>Корпус In-Win PL052 1200W Acbel R1CA2122A-P Platinum*2/PDB AcBel R2CU5162A/ USB3.0+A(HD)/ADDA 120*5mm rear fan*1, footstand*1set, side panel with key*1/ SK34-02 HDD storage kit (12G BP)*1/SL23”/handle ASSY (2PCS/1PAIR)/Dual easy swap SATA  port module*2/Single easy swap SATA</t>
        </is>
      </c>
      <c r="E1080" s="2">
        <v>10</v>
      </c>
      <c r="F1080" s="2">
        <v>10</v>
      </c>
      <c r="H1080" s="2">
        <v>976</v>
      </c>
      <c r="I1080" s="2" t="inlineStr">
        <is>
          <t>$</t>
        </is>
      </c>
      <c r="J1080" s="2">
        <f>HYPERLINK("https://app.astro.lead-studio.pro/product/373ebb57-3273-414b-9795-9da130e1c43c")</f>
      </c>
    </row>
    <row r="1081" spans="1:10" customHeight="0">
      <c r="A1081" s="2" t="inlineStr">
        <is>
          <t>Корпуса для Tower серверов</t>
        </is>
      </c>
      <c r="B1081" s="2" t="inlineStr">
        <is>
          <t>Silverstone</t>
        </is>
      </c>
      <c r="C1081" s="2" t="inlineStr">
        <is>
          <t>G59RM2130400020</t>
        </is>
      </c>
      <c r="D1081" s="2" t="inlineStr">
        <is>
          <t>Корпус Silverstone SST-RM21-304 </t>
        </is>
      </c>
      <c r="E1081" s="2">
        <v>2</v>
      </c>
      <c r="F1081" s="2">
        <v>2</v>
      </c>
      <c r="H1081" s="2">
        <v>407</v>
      </c>
      <c r="I1081" s="2" t="inlineStr">
        <is>
          <t>$</t>
        </is>
      </c>
      <c r="J1081" s="2">
        <f>HYPERLINK("https://app.astro.lead-studio.pro/product/9111f6d8-5dfd-4e34-8746-97ef1512aa60")</f>
      </c>
    </row>
    <row r="1082" spans="1:10" customHeight="0">
      <c r="A1082" s="2" t="inlineStr">
        <is>
          <t>Корпуса для Tower серверов</t>
        </is>
      </c>
      <c r="B1082" s="2" t="inlineStr">
        <is>
          <t>Silverstone</t>
        </is>
      </c>
      <c r="C1082" s="2" t="inlineStr">
        <is>
          <t>G59RM2130800020</t>
        </is>
      </c>
      <c r="D1082" s="2" t="inlineStr">
        <is>
          <t>Корпус Silverstone SST-RM21-308 </t>
        </is>
      </c>
      <c r="E1082" s="2">
        <v>1</v>
      </c>
      <c r="F1082" s="2">
        <v>1</v>
      </c>
      <c r="H1082" s="2">
        <v>459</v>
      </c>
      <c r="I1082" s="2" t="inlineStr">
        <is>
          <t>$</t>
        </is>
      </c>
      <c r="J1082" s="2">
        <f>HYPERLINK("https://app.astro.lead-studio.pro/product/c20a6293-ef2b-4890-8cb9-554dccae147b")</f>
      </c>
    </row>
    <row r="1083" spans="1:10" customHeight="0">
      <c r="A1083" s="2" t="inlineStr">
        <is>
          <t>Корпуса для Tower серверов</t>
        </is>
      </c>
      <c r="B1083" s="2" t="inlineStr">
        <is>
          <t>Silverstone</t>
        </is>
      </c>
      <c r="C1083" s="2" t="inlineStr">
        <is>
          <t>G59RM2230800020</t>
        </is>
      </c>
      <c r="D1083" s="2" t="inlineStr">
        <is>
          <t>Корпус Silverstone SST-RM22-308 </t>
        </is>
      </c>
      <c r="E1083" s="2">
        <v>1</v>
      </c>
      <c r="F1083" s="2">
        <v>1</v>
      </c>
      <c r="H1083" s="2">
        <v>388</v>
      </c>
      <c r="I1083" s="2" t="inlineStr">
        <is>
          <t>$</t>
        </is>
      </c>
      <c r="J1083" s="2">
        <f>HYPERLINK("https://app.astro.lead-studio.pro/product/e7903935-a3e4-47cb-a9fe-84fc527529b8")</f>
      </c>
    </row>
    <row r="1084" spans="1:10" customHeight="0">
      <c r="A1084" s="2" t="inlineStr">
        <is>
          <t>Корпуса для Tower серверов</t>
        </is>
      </c>
      <c r="B1084" s="2" t="inlineStr">
        <is>
          <t>Silverstone</t>
        </is>
      </c>
      <c r="C1084" s="2" t="inlineStr">
        <is>
          <t>G59RM4400000020</t>
        </is>
      </c>
      <c r="D1084" s="2" t="inlineStr">
        <is>
          <t>Корпус Silverstone SST-RM44 </t>
        </is>
      </c>
      <c r="E1084" s="2">
        <v>53</v>
      </c>
      <c r="F1084" s="2">
        <v>53</v>
      </c>
      <c r="H1084" s="2">
        <v>344</v>
      </c>
      <c r="I1084" s="2" t="inlineStr">
        <is>
          <t>$</t>
        </is>
      </c>
      <c r="J1084" s="2">
        <f>HYPERLINK("https://app.astro.lead-studio.pro/product/e9905a3c-e049-469d-80f3-07123b2a4105")</f>
      </c>
    </row>
    <row r="1085" spans="1:10" customHeight="0">
      <c r="A1085" s="2" t="inlineStr">
        <is>
          <t>Корпуса для Tower серверов</t>
        </is>
      </c>
      <c r="B1085" s="2" t="inlineStr">
        <is>
          <t>Silverstone</t>
        </is>
      </c>
      <c r="C1085" s="2" t="inlineStr">
        <is>
          <t>G59RM5100000020</t>
        </is>
      </c>
      <c r="D1085" s="2" t="inlineStr">
        <is>
          <t>Корпус Silverstone SST-RM51 </t>
        </is>
      </c>
      <c r="E1085" s="2">
        <v>63</v>
      </c>
      <c r="F1085" s="2">
        <v>63</v>
      </c>
      <c r="H1085" s="2">
        <v>449</v>
      </c>
      <c r="I1085" s="2" t="inlineStr">
        <is>
          <t>$</t>
        </is>
      </c>
      <c r="J1085" s="2">
        <f>HYPERLINK("https://app.astro.lead-studio.pro/product/e94561c6-2bb1-4704-927a-cc710e92f997")</f>
      </c>
    </row>
    <row r="1086" spans="1:10" customHeight="0">
      <c r="A1086" s="2" t="inlineStr">
        <is>
          <t>Корпуса для Tower серверов</t>
        </is>
      </c>
      <c r="B1086" s="2" t="inlineStr">
        <is>
          <t>Silverstone</t>
        </is>
      </c>
      <c r="C1086" s="2" t="inlineStr">
        <is>
          <t>G59RM5200000020</t>
        </is>
      </c>
      <c r="D1086" s="2" t="inlineStr">
        <is>
          <t>Корпус Silverstone G59RM5200000020 5U rackmount server chassis with dual 360mm liquid cooling compatibility SST-RM52</t>
        </is>
      </c>
      <c r="E1086" s="2">
        <v>100</v>
      </c>
      <c r="F1086" s="2">
        <v>100</v>
      </c>
      <c r="H1086" s="2">
        <v>535</v>
      </c>
      <c r="I1086" s="2" t="inlineStr">
        <is>
          <t>$</t>
        </is>
      </c>
      <c r="J1086" s="2">
        <f>HYPERLINK("https://app.astro.lead-studio.pro/product/dbe17318-66d4-42ac-9a2b-9d5ac2e9a303")</f>
      </c>
    </row>
    <row r="1087" spans="1:10" customHeight="0">
      <c r="A1087" s="2" t="inlineStr">
        <is>
          <t>Корпуса для Tower серверов</t>
        </is>
      </c>
      <c r="B1087" s="2" t="inlineStr">
        <is>
          <t>Silverstone</t>
        </is>
      </c>
      <c r="C1087" s="2" t="inlineStr">
        <is>
          <t>G59RM5200000020||bp</t>
        </is>
      </c>
      <c r="D1087" s="2" t="inlineStr">
        <is>
          <t>Корпус серверный Silverstone Bad Pack SST-RM52 5U rackmount server chassis with dual 360mm liquid cooling compatibility SST-RM52 bp</t>
        </is>
      </c>
      <c r="E1087" s="2">
        <v>1</v>
      </c>
      <c r="F1087" s="2">
        <v>1</v>
      </c>
      <c r="H1087" s="2">
        <v>472</v>
      </c>
      <c r="I1087" s="2" t="inlineStr">
        <is>
          <t>$</t>
        </is>
      </c>
      <c r="J1087" s="2">
        <f>HYPERLINK("https://app.astro.lead-studio.pro/product/90b3d5ba-7f86-4402-9253-83094fa262e7")</f>
      </c>
    </row>
    <row r="1088" spans="1:10" customHeight="0">
      <c r="A1088" s="2" t="inlineStr">
        <is>
          <t>Корпуса для Tower серверов</t>
        </is>
      </c>
      <c r="B1088" s="2" t="inlineStr">
        <is>
          <t>Chenbro</t>
        </is>
      </c>
      <c r="C1088" s="2" t="inlineStr">
        <is>
          <t>SR11369-0070A0</t>
        </is>
      </c>
      <c r="D1088" s="2" t="inlineStr">
        <is>
          <t>Корпус Chenbro SR11369-0070A0</t>
        </is>
      </c>
      <c r="E1088" s="2">
        <v>100</v>
      </c>
      <c r="F1088" s="2">
        <v>100</v>
      </c>
      <c r="H1088" s="2">
        <v>891</v>
      </c>
      <c r="I1088" s="2" t="inlineStr">
        <is>
          <t>$</t>
        </is>
      </c>
      <c r="J1088" s="2">
        <f>HYPERLINK("https://app.astro.lead-studio.pro/product/2a2a5702-92fb-44cf-b242-32f3602442b9")</f>
      </c>
    </row>
    <row r="1089" spans="1:10" customHeight="0">
      <c r="A1089" s="2" t="inlineStr">
        <is>
          <t>Корпуса для Tower серверов</t>
        </is>
      </c>
      <c r="B1089" s="2" t="inlineStr">
        <is>
          <t>Chenbro</t>
        </is>
      </c>
      <c r="C1089" s="2" t="inlineStr">
        <is>
          <t>SR11369-0070A0||bp</t>
        </is>
      </c>
      <c r="D1089" s="2" t="inlineStr">
        <is>
          <t>Корпус серверный Chenbro Bad Pack Корпус Chenbro SR11369-0070A0 SERVER,8BAY'3.5",BLACK,BEZEL
BLACK,SAS/SATA,4'8038,SINGLE +PALLET,3PCS/PALLET,AO 1 bp</t>
        </is>
      </c>
      <c r="E1089" s="2">
        <v>2</v>
      </c>
      <c r="F1089" s="2">
        <v>2</v>
      </c>
      <c r="H1089" s="2">
        <v>906</v>
      </c>
      <c r="I1089" s="2" t="inlineStr">
        <is>
          <t>$</t>
        </is>
      </c>
      <c r="J1089" s="2">
        <f>HYPERLINK("https://app.astro.lead-studio.pro/product/40a942f9-5a9b-4e72-a490-d4c60f91fb37")</f>
      </c>
    </row>
    <row r="1090" spans="1:10" customHeight="0">
      <c r="A1090" s="2" t="inlineStr">
        <is>
          <t>Корпуса для Tower серверов</t>
        </is>
      </c>
      <c r="B1090" s="2" t="inlineStr">
        <is>
          <t>Chenbro</t>
        </is>
      </c>
      <c r="C1090" s="2" t="inlineStr">
        <is>
          <t>SR11369H01*15639</t>
        </is>
      </c>
      <c r="D1090" s="2" t="inlineStr">
        <is>
          <t>Корпус Chenbro SR11369H01*15639 TOWER SEVER,4U,BK CC1012,W/PSU+MINI SAS «HD,12G+FAN,SINGLE+PALLET,REV.:»B00»</t>
        </is>
      </c>
      <c r="E1090" s="2">
        <v>10</v>
      </c>
      <c r="F1090" s="2">
        <v>10</v>
      </c>
      <c r="H1090" s="2">
        <v>1612</v>
      </c>
      <c r="I1090" s="2" t="inlineStr">
        <is>
          <t>$</t>
        </is>
      </c>
      <c r="J1090" s="2">
        <f>HYPERLINK("https://app.astro.lead-studio.pro/product/982a4598-376d-4a68-9d2d-40f172a7606c")</f>
      </c>
    </row>
    <row r="1091" spans="1:10" customHeight="0">
      <c r="A1091" s="2" t="inlineStr">
        <is>
          <t>Корпуса для Tower серверов</t>
        </is>
      </c>
      <c r="B1091" s="2" t="inlineStr">
        <is>
          <t>Chenbro</t>
        </is>
      </c>
      <c r="C1091" s="2" t="inlineStr">
        <is>
          <t>SR11369H01*15639||bp</t>
        </is>
      </c>
      <c r="D1091" s="2" t="inlineStr">
        <is>
          <t>Корпус серверный Chenbro Bad Pack Корпус для сервера SR11369H01*15639 TOWER SEVER,4U,BK CC1012,W/PSU+MINI SAS "HD,12G+FAN,SINGLE+PALLET,REV.:"B00" bp</t>
        </is>
      </c>
      <c r="E1091" s="2">
        <v>1</v>
      </c>
      <c r="F1091" s="2">
        <v>1</v>
      </c>
      <c r="H1091" s="2">
        <v>1608</v>
      </c>
      <c r="I1091" s="2" t="inlineStr">
        <is>
          <t>$</t>
        </is>
      </c>
      <c r="J1091" s="2">
        <f>HYPERLINK("https://app.astro.lead-studio.pro/product/9560dace-622d-4c00-bae7-cb23607bcad2")</f>
      </c>
    </row>
    <row r="1092" spans="1:10" customHeight="0">
      <c r="A1092" s="2" t="inlineStr">
        <is>
          <t>Кулеры и системы охлаждения (для серверов)</t>
        </is>
      </c>
      <c r="B1092" s="2" t="inlineStr">
        <is>
          <t>Infortrend</t>
        </is>
      </c>
      <c r="C1092" s="2" t="inlineStr">
        <is>
          <t>9581FANMOD-0010</t>
        </is>
      </c>
      <c r="D1092" s="2" t="inlineStr">
        <is>
          <t>Вентиляторный блок Infortrend Cooling fan module for 4U 60-bays model (GS, GSc, JBOD), 9581FANMOD-0010</t>
        </is>
      </c>
      <c r="E1092" s="2">
        <v>2</v>
      </c>
      <c r="F1092" s="2">
        <v>2</v>
      </c>
      <c r="H1092" s="2">
        <v>355</v>
      </c>
      <c r="I1092" s="2" t="inlineStr">
        <is>
          <t>$</t>
        </is>
      </c>
      <c r="J1092" s="2">
        <f>HYPERLINK("https://app.astro.lead-studio.pro/product/5607d16c-4452-4697-9917-02f838fb4a21")</f>
      </c>
    </row>
    <row r="1093" spans="1:10" customHeight="0">
      <c r="A1093" s="2" t="inlineStr">
        <is>
          <t>Кулеры и системы охлаждения (для серверов)</t>
        </is>
      </c>
      <c r="B1093" s="2" t="inlineStr">
        <is>
          <t>HPE</t>
        </is>
      </c>
      <c r="C1093" s="2" t="inlineStr">
        <is>
          <t>P14608-B21</t>
        </is>
      </c>
      <c r="D1093" s="2" t="inlineStr">
        <is>
          <t>Вентилятор Lenovo HPE DL38X Gen10 Plus Maximum Performance Fan Kit </t>
        </is>
      </c>
      <c r="E1093" s="2">
        <v>18</v>
      </c>
      <c r="F1093" s="2">
        <v>18</v>
      </c>
      <c r="H1093" s="2">
        <v>381</v>
      </c>
      <c r="I1093" s="2" t="inlineStr">
        <is>
          <t>$</t>
        </is>
      </c>
      <c r="J1093" s="2">
        <f>HYPERLINK("https://app.astro.lead-studio.pro/product/d74b0ac3-2a44-4d39-9d76-9999521550dd")</f>
      </c>
    </row>
    <row r="1094" spans="1:10" customHeight="0">
      <c r="A1094" s="2" t="inlineStr">
        <is>
          <t>Кулеры и системы охлаждения (для серверов)</t>
        </is>
      </c>
      <c r="B1094" s="2" t="inlineStr">
        <is>
          <t>HPE</t>
        </is>
      </c>
      <c r="C1094" s="2" t="inlineStr">
        <is>
          <t>P26477-B21</t>
        </is>
      </c>
      <c r="D1094" s="2" t="inlineStr">
        <is>
          <t>Вентилятор HPE ProLiant DL36X Gen10 Plus High Performance Fan Kit </t>
        </is>
      </c>
      <c r="E1094" s="2">
        <v>16</v>
      </c>
      <c r="F1094" s="2">
        <v>16</v>
      </c>
      <c r="H1094" s="2">
        <v>473</v>
      </c>
      <c r="I1094" s="2" t="inlineStr">
        <is>
          <t>$</t>
        </is>
      </c>
      <c r="J1094" s="2">
        <f>HYPERLINK("https://app.astro.lead-studio.pro/product/4dd26447-90cb-4501-b6de-526a35411e98")</f>
      </c>
    </row>
    <row r="1095" spans="1:10" customHeight="0">
      <c r="A1095" s="2" t="inlineStr">
        <is>
          <t>Материнские платы для серверов</t>
        </is>
      </c>
      <c r="B1095" s="2" t="inlineStr">
        <is>
          <t>ASUS</t>
        </is>
      </c>
      <c r="C1095" s="2" t="inlineStr">
        <is>
          <t>90MB1590-M0EAY0</t>
        </is>
      </c>
      <c r="D1095" s="2" t="inlineStr">
        <is>
          <t>Материнская плата ASUS PRO WS WRX80E-SAGE SE WIFI /AMD SWRX8,WRX80,PCIE 4.0,WS MB, RTL {3} (066262)</t>
        </is>
      </c>
      <c r="E1095" s="2">
        <v>8</v>
      </c>
      <c r="F1095" s="2">
        <v>8</v>
      </c>
      <c r="H1095" s="2">
        <v>1601</v>
      </c>
      <c r="I1095" s="2" t="inlineStr">
        <is>
          <t>$</t>
        </is>
      </c>
      <c r="J1095" s="2">
        <f>HYPERLINK("https://app.astro.lead-studio.pro/product/0a193138-fa1c-4773-af2a-51e4f65da50c")</f>
      </c>
    </row>
    <row r="1096" spans="1:10" customHeight="0">
      <c r="A1096" s="2" t="inlineStr">
        <is>
          <t>Материнские платы для серверов</t>
        </is>
      </c>
      <c r="B1096" s="2" t="inlineStr">
        <is>
          <t>ASUS</t>
        </is>
      </c>
      <c r="C1096" s="2" t="inlineStr">
        <is>
          <t>90SB0C70-M0UAY0</t>
        </is>
      </c>
      <c r="D1096" s="2" t="inlineStr">
        <is>
          <t>Материнская плата ASUS P13R-M /SP XEON,C262,MICROATX,4DIMM (90SB0C70-M0UAY0) </t>
        </is>
      </c>
      <c r="E1096" s="2">
        <v>12</v>
      </c>
      <c r="F1096" s="2">
        <v>12</v>
      </c>
      <c r="H1096" s="2">
        <v>509</v>
      </c>
      <c r="I1096" s="2" t="inlineStr">
        <is>
          <t>$</t>
        </is>
      </c>
      <c r="J1096" s="2">
        <f>HYPERLINK("https://app.astro.lead-studio.pro/product/7d75d371-a262-413c-85e8-9b966115532d")</f>
      </c>
    </row>
    <row r="1097" spans="1:10" customHeight="0">
      <c r="A1097" s="2" t="inlineStr">
        <is>
          <t>Материнские платы для серверов</t>
        </is>
      </c>
      <c r="B1097" s="2" t="inlineStr">
        <is>
          <t>ASUS</t>
        </is>
      </c>
      <c r="C1097" s="2" t="inlineStr">
        <is>
          <t>90SB0CR0-M0UAY0</t>
        </is>
      </c>
      <c r="D1097" s="2" t="inlineStr">
        <is>
          <t>Материнская плата ASUS P13R-I /INTEL XEON,C262,MITX,2DIMM,ASMB11 (90SB0CR0-M0UAY0) </t>
        </is>
      </c>
      <c r="E1097" s="2">
        <v>27</v>
      </c>
      <c r="F1097" s="2">
        <v>27</v>
      </c>
      <c r="H1097" s="2">
        <v>413</v>
      </c>
      <c r="I1097" s="2" t="inlineStr">
        <is>
          <t>$</t>
        </is>
      </c>
      <c r="J1097" s="2">
        <f>HYPERLINK("https://app.astro.lead-studio.pro/product/2ee75d99-cc51-4033-9e67-7a6d25e5503c")</f>
      </c>
    </row>
    <row r="1098" spans="1:10" customHeight="0">
      <c r="A1098" s="2" t="inlineStr">
        <is>
          <t>Материнские платы для серверов</t>
        </is>
      </c>
      <c r="B1098" s="2" t="inlineStr">
        <is>
          <t>SuperMicro</t>
        </is>
      </c>
      <c r="C1098" s="2" t="inlineStr">
        <is>
          <t>MBD-H13SSL-N-B</t>
        </is>
      </c>
      <c r="D1098" s="2" t="inlineStr">
        <is>
          <t>Материнская плата SuperMicro MBD-H13SSL-N-B AMD EPYC UP platform with socket SP5 CPU, SoC, 12x Bulk</t>
        </is>
      </c>
      <c r="E1098" s="2">
        <v>5</v>
      </c>
      <c r="F1098" s="2">
        <v>5</v>
      </c>
      <c r="H1098" s="2">
        <v>1030</v>
      </c>
      <c r="I1098" s="2" t="inlineStr">
        <is>
          <t>$</t>
        </is>
      </c>
      <c r="J1098" s="2">
        <f>HYPERLINK("https://app.astro.lead-studio.pro/product/c2da00ff-aa09-4137-8f4a-518994093bca")</f>
      </c>
    </row>
    <row r="1099" spans="1:10" customHeight="0">
      <c r="A1099" s="2" t="inlineStr">
        <is>
          <t>Материнские платы для серверов</t>
        </is>
      </c>
      <c r="B1099" s="2" t="inlineStr">
        <is>
          <t>SuperMicro</t>
        </is>
      </c>
      <c r="C1099" s="2" t="inlineStr">
        <is>
          <t>MBD-X11SPA-T-B</t>
        </is>
      </c>
      <c r="D1099" s="2" t="inlineStr">
        <is>
          <t>Материнская плата SuperMicro SuperMicro MBD-X11SPA-T-B 2nd Gen Intel® Xeon® Scalable Processors and Intel® Xeon® Scalable Processors, Intel® Xeon® W-32xx Processor, Single Socket LGA-3647 (Socket P) supported, CPU TDP supports 205W TDP, Intel® C621,</t>
        </is>
      </c>
      <c r="E1099" s="2">
        <v>1</v>
      </c>
      <c r="F1099" s="2">
        <v>1</v>
      </c>
      <c r="H1099" s="2">
        <v>1134</v>
      </c>
      <c r="I1099" s="2" t="inlineStr">
        <is>
          <t>$</t>
        </is>
      </c>
      <c r="J1099" s="2">
        <f>HYPERLINK("https://app.astro.lead-studio.pro/product/bd3cdf17-53d1-44bd-a89b-6f804e0b036c")</f>
      </c>
    </row>
    <row r="1100" spans="1:10" customHeight="0">
      <c r="A1100" s="2" t="inlineStr">
        <is>
          <t>Материнские платы для серверов</t>
        </is>
      </c>
      <c r="B1100" s="2" t="inlineStr">
        <is>
          <t>SuperMicro</t>
        </is>
      </c>
      <c r="C1100" s="2" t="inlineStr">
        <is>
          <t>MBD-X11SSA-F-B</t>
        </is>
      </c>
      <c r="D1100" s="2" t="inlineStr">
        <is>
          <t>Материнская плата SuperMicro MBD-X11SSA-F Single socket H4 (LGA 1151) supports Intel® Xeon® processor E3-1200 v6/v5, Intel® 7th/6th Gen. Core™ i3 series, Intel® Celeron® and Intel® Pentium®,   I/O Cables CBL-0044L – 2 шт. I/O Shield MCP-260-00042-0N – 1 шт. </t>
        </is>
      </c>
      <c r="E1100" s="2">
        <v>1</v>
      </c>
      <c r="F1100" s="2">
        <v>1</v>
      </c>
      <c r="H1100" s="2">
        <v>552</v>
      </c>
      <c r="I1100" s="2" t="inlineStr">
        <is>
          <t>$</t>
        </is>
      </c>
      <c r="J1100" s="2">
        <f>HYPERLINK("https://app.astro.lead-studio.pro/product/ffe52a0c-ecf6-4737-b6c0-33f6a14e83e2")</f>
      </c>
    </row>
    <row r="1101" spans="1:10" customHeight="0">
      <c r="A1101" s="2" t="inlineStr">
        <is>
          <t>Материнские платы для серверов</t>
        </is>
      </c>
      <c r="B1101" s="2" t="inlineStr">
        <is>
          <t>SuperMicro</t>
        </is>
      </c>
      <c r="C1101" s="2" t="inlineStr">
        <is>
          <t>MBD-X12DAI-N6-B</t>
        </is>
      </c>
      <c r="D1101" s="2" t="inlineStr">
        <is>
          <t>Материнская плата SuperMicro Материнская плата MBD-X12DAI-N6-B 3rd Gen Intel® Xeon® Scalable processors Dual Socket LGA-4189 (Socket P+) supported, CPU TDP supports Up to 270W TDP, 3 UPI up to 11.2 GT/s,Intel® C621A,Up to 4TB 3DS ECC RDIMM, DDR4-3200MHz (OEM) {8} (451517) (incl. 1x I/O Shield MCP-260-00115-0N, 2x CBL-0044L, 2x CPU carrier SKT-1205L-P4IC-FXC)</t>
        </is>
      </c>
      <c r="E1101" s="2">
        <v>5</v>
      </c>
      <c r="F1101" s="2">
        <v>5</v>
      </c>
      <c r="H1101" s="2">
        <v>1061</v>
      </c>
      <c r="I1101" s="2" t="inlineStr">
        <is>
          <t>$</t>
        </is>
      </c>
      <c r="J1101" s="2">
        <f>HYPERLINK("https://app.astro.lead-studio.pro/product/1b87d98e-fc24-431f-9eed-d180bf7950bc")</f>
      </c>
    </row>
    <row r="1102" spans="1:10" customHeight="0">
      <c r="A1102" s="2" t="inlineStr">
        <is>
          <t>Материнские платы для серверов</t>
        </is>
      </c>
      <c r="B1102" s="2" t="inlineStr">
        <is>
          <t>SuperMicro</t>
        </is>
      </c>
      <c r="C1102" s="2" t="inlineStr">
        <is>
          <t>MBD-X12DPG-QT6-B</t>
        </is>
      </c>
      <c r="D1102" s="2" t="inlineStr">
        <is>
          <t>Материнская плата SuperMicro MBD-X12DPG-QT6-B</t>
        </is>
      </c>
      <c r="E1102" s="2">
        <v>7</v>
      </c>
      <c r="F1102" s="2">
        <v>7</v>
      </c>
      <c r="H1102" s="2">
        <v>1716</v>
      </c>
      <c r="I1102" s="2" t="inlineStr">
        <is>
          <t>$</t>
        </is>
      </c>
      <c r="J1102" s="2">
        <f>HYPERLINK("https://app.astro.lead-studio.pro/product/be90c303-4155-4339-8009-da7c832b9be8")</f>
      </c>
    </row>
    <row r="1103" spans="1:10" customHeight="0">
      <c r="A1103" s="2" t="inlineStr">
        <is>
          <t>Материнские платы для серверов</t>
        </is>
      </c>
      <c r="B1103" s="2" t="inlineStr">
        <is>
          <t>SuperMicro</t>
        </is>
      </c>
      <c r="C1103" s="2" t="inlineStr">
        <is>
          <t>MBD-X12DPI-N6-B</t>
        </is>
      </c>
      <c r="D1103" s="2" t="inlineStr">
        <is>
          <t>Материнская плата SuperMicro Материнская плата MBD-X12DPI-N6-B 3rd Gen Intel® Xeon® Scalable processors Dual Socket LGA-4189 (Socket P+) supported, CPU TDP supports Up to 270W TDP, 3 UPI up to 11.2 GT/s,Intel® C621A,Up to 4TB 3DS ECC RDIMM, DDR4-3200MHz, (441594)(incl. 1x I/O Shield MCP-260-00042-0N, 2x CPU carrier SKT-1205L-P4IC-FXC, 2x CBL-0044L)</t>
        </is>
      </c>
      <c r="E1103" s="2">
        <v>5</v>
      </c>
      <c r="F1103" s="2">
        <v>5</v>
      </c>
      <c r="H1103" s="2">
        <v>1081</v>
      </c>
      <c r="I1103" s="2" t="inlineStr">
        <is>
          <t>$</t>
        </is>
      </c>
      <c r="J1103" s="2">
        <f>HYPERLINK("https://app.astro.lead-studio.pro/product/75ea477b-0817-44fe-9363-39d318060ade")</f>
      </c>
    </row>
    <row r="1104" spans="1:10" customHeight="0">
      <c r="A1104" s="2" t="inlineStr">
        <is>
          <t>Материнские платы для серверов</t>
        </is>
      </c>
      <c r="B1104" s="2" t="inlineStr">
        <is>
          <t>SuperMicro</t>
        </is>
      </c>
      <c r="C1104" s="2" t="inlineStr">
        <is>
          <t>MBD-X12DPI-NT6-B</t>
        </is>
      </c>
      <c r="D1104" s="2" t="inlineStr">
        <is>
          <t>Материнская плата SuperMicro Материнская плата MBD-X12DPI-NT6-B 3rd Gen Intel® Xeon® Scalable processors Dual Socket LGA-4189 (Socket P+) supported, CPU TDP supports Up to 270W TDP, 3 UPI up to 11.2 GT/s,Intel® C621A,Up to 4TB RDIMM,DDR4-3200MHz Up to 4TB 3DS ECC LRDIMM,DDR4-3200MHz, (incl. 2* SKT-1205L-P4IC-FXC, 2* CBL-0044L, 1* MCP-260-00042-0N)</t>
        </is>
      </c>
      <c r="E1104" s="2">
        <v>5</v>
      </c>
      <c r="F1104" s="2">
        <v>5</v>
      </c>
      <c r="H1104" s="2">
        <v>1685</v>
      </c>
      <c r="I1104" s="2" t="inlineStr">
        <is>
          <t>$</t>
        </is>
      </c>
      <c r="J1104" s="2">
        <f>HYPERLINK("https://app.astro.lead-studio.pro/product/348ad009-80a4-498f-9ee3-375ed05231a4")</f>
      </c>
    </row>
    <row r="1105" spans="1:10" customHeight="0">
      <c r="A1105" s="2" t="inlineStr">
        <is>
          <t>Материнские платы для серверов</t>
        </is>
      </c>
      <c r="B1105" s="2" t="inlineStr">
        <is>
          <t>SuperMicro</t>
        </is>
      </c>
      <c r="C1105" s="2" t="inlineStr">
        <is>
          <t>MBD-X12DPL-i6-B</t>
        </is>
      </c>
      <c r="D1105" s="2" t="inlineStr">
        <is>
          <t>Материнская плата SuperMicro MBD-X12DPL-i6-B (OEM), (incl. 2* SKT-1205L-P4IC-FXC, 2* CBL-0044L, 1* MCP-260-00156-0N), Series MBD-X12D</t>
        </is>
      </c>
      <c r="E1105" s="2">
        <v>5</v>
      </c>
      <c r="F1105" s="2">
        <v>5</v>
      </c>
      <c r="H1105" s="2">
        <v>765</v>
      </c>
      <c r="I1105" s="2" t="inlineStr">
        <is>
          <t>$</t>
        </is>
      </c>
      <c r="J1105" s="2">
        <f>HYPERLINK("https://app.astro.lead-studio.pro/product/170e3772-03ca-460d-91ce-d43c6e64ba0e")</f>
      </c>
    </row>
    <row r="1106" spans="1:10" customHeight="0">
      <c r="A1106" s="2" t="inlineStr">
        <is>
          <t>Материнские платы для серверов</t>
        </is>
      </c>
      <c r="B1106" s="2" t="inlineStr">
        <is>
          <t>SuperMicro</t>
        </is>
      </c>
      <c r="C1106" s="2" t="inlineStr">
        <is>
          <t>MBD-X12DPL-NT6-B</t>
        </is>
      </c>
      <c r="D1106" s="2" t="inlineStr">
        <is>
          <t>Материнская плата SuperMicro MBD-X12DPL-NT6-B</t>
        </is>
      </c>
      <c r="E1106" s="2">
        <v>67</v>
      </c>
      <c r="F1106" s="2">
        <v>67</v>
      </c>
      <c r="H1106" s="2">
        <v>1301</v>
      </c>
      <c r="I1106" s="2" t="inlineStr">
        <is>
          <t>$</t>
        </is>
      </c>
      <c r="J1106" s="2">
        <f>HYPERLINK("https://app.astro.lead-studio.pro/product/05f7389e-a852-485a-acef-e22c721d6491")</f>
      </c>
    </row>
    <row r="1107" spans="1:10" customHeight="0">
      <c r="A1107" s="2" t="inlineStr">
        <is>
          <t>Материнские платы для серверов</t>
        </is>
      </c>
      <c r="B1107" s="2" t="inlineStr">
        <is>
          <t>SuperMicro</t>
        </is>
      </c>
      <c r="C1107" s="2" t="inlineStr">
        <is>
          <t>MBD-X12SAE-B</t>
        </is>
      </c>
      <c r="D1107" s="2" t="inlineStr">
        <is>
          <t>Материнская плата SuperMicro MBD-X12SAE-B {10} (414307) (incl. 1x I/O Shield MCP-260-00151-0N, 2x CBL-0044L)</t>
        </is>
      </c>
      <c r="E1107" s="2">
        <v>5</v>
      </c>
      <c r="F1107" s="2">
        <v>5</v>
      </c>
      <c r="H1107" s="2">
        <v>538</v>
      </c>
      <c r="I1107" s="2" t="inlineStr">
        <is>
          <t>$</t>
        </is>
      </c>
      <c r="J1107" s="2">
        <f>HYPERLINK("https://app.astro.lead-studio.pro/product/0abaa086-b027-443c-9de4-7238c0f4389f")</f>
      </c>
    </row>
    <row r="1108" spans="1:10" customHeight="0">
      <c r="A1108" s="2" t="inlineStr">
        <is>
          <t>Материнские платы для серверов</t>
        </is>
      </c>
      <c r="B1108" s="2" t="inlineStr">
        <is>
          <t>SuperMicro</t>
        </is>
      </c>
      <c r="C1108" s="2" t="inlineStr">
        <is>
          <t>MBD-X12SCA-F-B</t>
        </is>
      </c>
      <c r="D1108" s="2" t="inlineStr">
        <is>
          <t>Материнская плата SuperMicro Материнская плата MBD-X12SCA-F-B W-1200 CPU, 4 DIMM slots, Intel W480 controller for 4 SATA3 (6 Gbps) ports, RAID 0,1,5,10, 1 PCI-E 3.0 x4, 2 PCI-E 3.0 x16 slots, bulk (414437)</t>
        </is>
      </c>
      <c r="E1108" s="2">
        <v>5</v>
      </c>
      <c r="F1108" s="2">
        <v>5</v>
      </c>
      <c r="H1108" s="2">
        <v>624</v>
      </c>
      <c r="I1108" s="2" t="inlineStr">
        <is>
          <t>$</t>
        </is>
      </c>
      <c r="J1108" s="2">
        <f>HYPERLINK("https://app.astro.lead-studio.pro/product/4bf9b943-2130-4dd7-ab25-87860fd6fe0e")</f>
      </c>
    </row>
    <row r="1109" spans="1:10" customHeight="0">
      <c r="A1109" s="2" t="inlineStr">
        <is>
          <t>Материнские платы для серверов</t>
        </is>
      </c>
      <c r="B1109" s="2" t="inlineStr">
        <is>
          <t>SuperMicro</t>
        </is>
      </c>
      <c r="C1109" s="2" t="inlineStr">
        <is>
          <t>MBD-X12SPA-TF-B</t>
        </is>
      </c>
      <c r="D1109" s="2" t="inlineStr">
        <is>
          <t>Материнская плата SuperMicro Материнская плата MBD-X12SPA-TF-B LGA4189, C621A, 16*DDR4(3200), 4*M.2, 7*PCIE, 10Glan, Glan, IPMI lan, USB Type-C, 4*USB 3.2, VGA, 2*COM</t>
        </is>
      </c>
      <c r="E1109" s="2">
        <v>25</v>
      </c>
      <c r="F1109" s="2">
        <v>25</v>
      </c>
      <c r="H1109" s="2">
        <v>1281</v>
      </c>
      <c r="I1109" s="2" t="inlineStr">
        <is>
          <t>$</t>
        </is>
      </c>
      <c r="J1109" s="2">
        <f>HYPERLINK("https://app.astro.lead-studio.pro/product/614e2bdf-1794-4046-ad3a-f19393678395")</f>
      </c>
    </row>
    <row r="1110" spans="1:10" customHeight="0">
      <c r="A1110" s="2" t="inlineStr">
        <is>
          <t>Материнские платы для серверов</t>
        </is>
      </c>
      <c r="B1110" s="2" t="inlineStr">
        <is>
          <t>SuperMicro</t>
        </is>
      </c>
      <c r="C1110" s="2" t="inlineStr">
        <is>
          <t>MBD-X13DAI-T-B</t>
        </is>
      </c>
      <c r="D1110" s="2" t="inlineStr">
        <is>
          <t>Материнская плата Supermicro MBD-X13DAI-T-B</t>
        </is>
      </c>
      <c r="E1110" s="2">
        <v>49</v>
      </c>
      <c r="F1110" s="2">
        <v>49</v>
      </c>
      <c r="H1110" s="2">
        <v>1555</v>
      </c>
      <c r="I1110" s="2" t="inlineStr">
        <is>
          <t>$</t>
        </is>
      </c>
      <c r="J1110" s="2">
        <f>HYPERLINK("https://app.astro.lead-studio.pro/product/18276c37-3580-4bae-aa71-d36484092128")</f>
      </c>
    </row>
    <row r="1111" spans="1:10" customHeight="0">
      <c r="A1111" s="2" t="inlineStr">
        <is>
          <t>Материнские платы для серверов</t>
        </is>
      </c>
      <c r="B1111" s="2" t="inlineStr">
        <is>
          <t>SuperMicro</t>
        </is>
      </c>
      <c r="C1111" s="2" t="inlineStr">
        <is>
          <t>MBD-X13SCL-F-B</t>
        </is>
      </c>
      <c r="D1111" s="2" t="inlineStr">
        <is>
          <t>Материнская плата SuperMicro MBD-X13SCL-F-B</t>
        </is>
      </c>
      <c r="E1111" s="2">
        <v>5</v>
      </c>
      <c r="F1111" s="2">
        <v>5</v>
      </c>
      <c r="H1111" s="2">
        <v>618</v>
      </c>
      <c r="I1111" s="2" t="inlineStr">
        <is>
          <t>$</t>
        </is>
      </c>
      <c r="J1111" s="2">
        <f>HYPERLINK("https://app.astro.lead-studio.pro/product/42af1bea-fd15-4ebc-948a-a86fd27fd601")</f>
      </c>
    </row>
    <row r="1112" spans="1:10" customHeight="0">
      <c r="A1112" s="2" t="inlineStr">
        <is>
          <t>Материнские платы для серверов</t>
        </is>
      </c>
      <c r="B1112" s="2" t="inlineStr">
        <is>
          <t>SuperMicro</t>
        </is>
      </c>
      <c r="C1112" s="2" t="inlineStr">
        <is>
          <t>MBD-X13SEM-F-B</t>
        </is>
      </c>
      <c r="D1112" s="2" t="inlineStr">
        <is>
          <t>Материнская плата Supermicro MBD-X13SEM-F-B</t>
        </is>
      </c>
      <c r="E1112" s="2">
        <v>2</v>
      </c>
      <c r="F1112" s="2">
        <v>2</v>
      </c>
      <c r="H1112" s="2">
        <v>912</v>
      </c>
      <c r="I1112" s="2" t="inlineStr">
        <is>
          <t>$</t>
        </is>
      </c>
      <c r="J1112" s="2">
        <f>HYPERLINK("https://app.astro.lead-studio.pro/product/c44860e5-1fd1-4a94-8431-a0826de66596")</f>
      </c>
    </row>
    <row r="1113" spans="1:10" customHeight="0">
      <c r="A1113" s="2" t="inlineStr">
        <is>
          <t>Материнские платы для серверов</t>
        </is>
      </c>
      <c r="B1113" s="2" t="inlineStr">
        <is>
          <t>SuperMicro</t>
        </is>
      </c>
      <c r="C1113" s="2" t="inlineStr">
        <is>
          <t>MBD-X13SRA-TF-B</t>
        </is>
      </c>
      <c r="D1113" s="2" t="inlineStr">
        <is>
          <t>Материнская плата Supermicro MBD-X13SRA-TF-B</t>
        </is>
      </c>
      <c r="E1113" s="2">
        <v>16</v>
      </c>
      <c r="F1113" s="2">
        <v>16</v>
      </c>
      <c r="H1113" s="2">
        <v>1162</v>
      </c>
      <c r="I1113" s="2" t="inlineStr">
        <is>
          <t>$</t>
        </is>
      </c>
      <c r="J1113" s="2">
        <f>HYPERLINK("https://app.astro.lead-studio.pro/product/0cdcf0d3-3625-407d-8bba-8516e0430dac")</f>
      </c>
    </row>
    <row r="1114" spans="1:10" customHeight="0">
      <c r="A1114" s="2" t="inlineStr">
        <is>
          <t>Материнские платы для серверов</t>
        </is>
      </c>
      <c r="B1114" s="2" t="inlineStr">
        <is>
          <t>SuperMicro</t>
        </is>
      </c>
      <c r="C1114" s="2" t="inlineStr">
        <is>
          <t>MBD-X13SWA-TF-B</t>
        </is>
      </c>
      <c r="D1114" s="2" t="inlineStr">
        <is>
          <t>Материнская плата Supermicro MBD-X13SWA-TF-B</t>
        </is>
      </c>
      <c r="E1114" s="2">
        <v>2</v>
      </c>
      <c r="F1114" s="2">
        <v>2</v>
      </c>
      <c r="H1114" s="2">
        <v>1443</v>
      </c>
      <c r="I1114" s="2" t="inlineStr">
        <is>
          <t>$</t>
        </is>
      </c>
      <c r="J1114" s="2">
        <f>HYPERLINK("https://app.astro.lead-studio.pro/product/db43c2ef-8bad-4ff3-9af7-32e76ccb585b")</f>
      </c>
    </row>
    <row r="1115" spans="1:10" customHeight="0">
      <c r="A1115" s="2" t="inlineStr">
        <is>
          <t>Материнские платы для серверов</t>
        </is>
      </c>
      <c r="B1115" s="2" t="inlineStr">
        <is>
          <t>Gigabyte</t>
        </is>
      </c>
      <c r="C1115" s="2" t="inlineStr">
        <is>
          <t>MF51-ES2</t>
        </is>
      </c>
      <c r="D1115" s="2" t="inlineStr">
        <is>
          <t>Материнская плата Gigabyte Серверная Материнская Плата MF51-ES2</t>
        </is>
      </c>
      <c r="E1115" s="2">
        <v>5</v>
      </c>
      <c r="F1115" s="2">
        <v>5</v>
      </c>
      <c r="H1115" s="2">
        <v>507</v>
      </c>
      <c r="I1115" s="2" t="inlineStr">
        <is>
          <t>$</t>
        </is>
      </c>
      <c r="J1115" s="2">
        <f>HYPERLINK("https://app.astro.lead-studio.pro/product/9fa5d431-7714-4b21-a0c5-2ea6bbfefd62")</f>
      </c>
    </row>
    <row r="1116" spans="1:10" customHeight="0">
      <c r="A1116" s="2" t="inlineStr">
        <is>
          <t>Материнские платы для серверов</t>
        </is>
      </c>
      <c r="B1116" s="2" t="inlineStr">
        <is>
          <t>MSI</t>
        </is>
      </c>
      <c r="C1116" s="2" t="inlineStr">
        <is>
          <t>MS-S1251</t>
        </is>
      </c>
      <c r="D1116" s="2" t="inlineStr">
        <is>
          <t>Материнская плата MSI MS-S1251 Материнская плата вычислительного узла</t>
        </is>
      </c>
      <c r="E1116" s="2">
        <v>5</v>
      </c>
      <c r="F1116" s="2">
        <v>5</v>
      </c>
      <c r="H1116" s="2">
        <v>1016</v>
      </c>
      <c r="I1116" s="2" t="inlineStr">
        <is>
          <t>$</t>
        </is>
      </c>
      <c r="J1116" s="2">
        <f>HYPERLINK("https://app.astro.lead-studio.pro/product/8636ce09-805d-44ba-9c07-5da0f1b8fdaa")</f>
      </c>
    </row>
    <row r="1117" spans="1:10" customHeight="0">
      <c r="A1117" s="2" t="inlineStr">
        <is>
          <t>Модули памяти для серверов</t>
        </is>
      </c>
      <c r="B1117" s="2" t="inlineStr">
        <is>
          <t>Lenovo</t>
        </is>
      </c>
      <c r="C1117" s="2" t="inlineStr">
        <is>
          <t>4ZC7A08710</t>
        </is>
      </c>
      <c r="D1117" s="2" t="inlineStr">
        <is>
          <t>Модуль памяти Lenovo 4ZC7A08710 ThinkSystem 64GB TruDDR4 2933MHz (2Rx4 1.2V) RDIMM</t>
        </is>
      </c>
      <c r="E1117" s="2">
        <v>13</v>
      </c>
      <c r="F1117" s="2">
        <v>13</v>
      </c>
      <c r="H1117" s="2">
        <v>839</v>
      </c>
      <c r="I1117" s="2" t="inlineStr">
        <is>
          <t>$</t>
        </is>
      </c>
    </row>
    <row r="1118" spans="1:10" customHeight="0">
      <c r="A1118" s="2" t="inlineStr">
        <is>
          <t>Модули памяти для серверов</t>
        </is>
      </c>
      <c r="B1118" s="2" t="inlineStr">
        <is>
          <t>Synology</t>
        </is>
      </c>
      <c r="C1118" s="2" t="inlineStr">
        <is>
          <t>D4EC-2666-16G</t>
        </is>
      </c>
      <c r="D1118" s="2" t="inlineStr">
        <is>
          <t>Модуль памяти Synology D4EC-2666-16G </t>
        </is>
      </c>
      <c r="E1118" s="2">
        <v>1</v>
      </c>
      <c r="F1118" s="2">
        <v>1</v>
      </c>
      <c r="H1118" s="2">
        <v>594</v>
      </c>
      <c r="I1118" s="2" t="inlineStr">
        <is>
          <t>$</t>
        </is>
      </c>
      <c r="J1118" s="2">
        <f>HYPERLINK("https://app.astro.lead-studio.pro/product/ced96d9c-170d-4a0f-899a-559e833a8c92")</f>
      </c>
    </row>
    <row r="1119" spans="1:10" customHeight="0">
      <c r="A1119" s="2" t="inlineStr">
        <is>
          <t>Модули памяти для серверов</t>
        </is>
      </c>
      <c r="B1119" s="2" t="inlineStr">
        <is>
          <t>Infortrend</t>
        </is>
      </c>
      <c r="C1119" s="2" t="inlineStr">
        <is>
          <t>DDR4REC2R0MJ-0010</t>
        </is>
      </c>
      <c r="D1119" s="2" t="inlineStr">
        <is>
          <t>Модуль памяти Infortrend DDR4REC2R0MJ-0010 64GB DDR4 ECC DIMM GS 3000/4000 Gen2 series</t>
        </is>
      </c>
      <c r="E1119" s="2">
        <v>10</v>
      </c>
      <c r="F1119" s="2">
        <v>10</v>
      </c>
      <c r="H1119" s="2">
        <v>703</v>
      </c>
      <c r="I1119" s="2" t="inlineStr">
        <is>
          <t>$</t>
        </is>
      </c>
    </row>
    <row r="1120" spans="1:10" customHeight="0">
      <c r="A1120" s="2" t="inlineStr">
        <is>
          <t>Модули памяти для серверов</t>
        </is>
      </c>
      <c r="B1120" s="2" t="inlineStr">
        <is>
          <t>Infortrend</t>
        </is>
      </c>
      <c r="C1120" s="2" t="inlineStr">
        <is>
          <t>DDR4RECMH-0010</t>
        </is>
      </c>
      <c r="D1120" s="2" t="inlineStr">
        <is>
          <t>Модуль памяти Infortrend DDR4RECMH-0010 32GB DDR4 ECC DIMM for Infortrend GS G2 series</t>
        </is>
      </c>
      <c r="E1120" s="2">
        <v>2</v>
      </c>
      <c r="F1120" s="2">
        <v>2</v>
      </c>
      <c r="H1120" s="2">
        <v>338</v>
      </c>
      <c r="I1120" s="2" t="inlineStr">
        <is>
          <t>$</t>
        </is>
      </c>
    </row>
    <row r="1121" spans="1:10" customHeight="0">
      <c r="A1121" s="2" t="inlineStr">
        <is>
          <t>Модули памяти для серверов</t>
        </is>
      </c>
      <c r="B1121" s="2" t="inlineStr">
        <is>
          <t>Hynix</t>
        </is>
      </c>
      <c r="C1121" s="2" t="inlineStr">
        <is>
          <t>HMABAGL7ABR4N-XN</t>
        </is>
      </c>
      <c r="D1121" s="2" t="inlineStr">
        <is>
          <t>Модуль памяти Hynix 128GB DDR4 HMABAGL7ABR4N-XN 3200MHz LRDIMM Registred ECC</t>
        </is>
      </c>
      <c r="E1121" s="2">
        <v>3</v>
      </c>
      <c r="F1121" s="2">
        <v>3</v>
      </c>
      <c r="H1121" s="2">
        <v>900</v>
      </c>
      <c r="I1121" s="2" t="inlineStr">
        <is>
          <t>$</t>
        </is>
      </c>
    </row>
    <row r="1122" spans="1:10" customHeight="0">
      <c r="A1122" s="2" t="inlineStr">
        <is>
          <t>Модули памяти для серверов</t>
        </is>
      </c>
      <c r="B1122" s="2" t="inlineStr">
        <is>
          <t>HPE</t>
        </is>
      </c>
      <c r="C1122" s="2" t="inlineStr">
        <is>
          <t>P06035-B21</t>
        </is>
      </c>
      <c r="D1122" s="2" t="inlineStr">
        <is>
          <t>Модуль памяти HPE CAS-22-22-22 Registered Smart Memory Kit 64GB (1x64GB) Dual Rank x4 DDR4-3200 </t>
        </is>
      </c>
      <c r="E1122" s="2">
        <v>18</v>
      </c>
      <c r="F1122" s="2">
        <v>18</v>
      </c>
      <c r="H1122" s="2">
        <v>393</v>
      </c>
      <c r="I1122" s="2" t="inlineStr">
        <is>
          <t>$</t>
        </is>
      </c>
    </row>
    <row r="1123" spans="1:10" customHeight="0">
      <c r="A1123" s="2" t="inlineStr">
        <is>
          <t>Модули памяти для серверов</t>
        </is>
      </c>
      <c r="B1123" s="2" t="inlineStr">
        <is>
          <t>Samsung</t>
        </is>
      </c>
      <c r="C1123" s="2" t="inlineStr">
        <is>
          <t>M321R8GA0PB0-CWM</t>
        </is>
      </c>
      <c r="D1123" s="2" t="inlineStr">
        <is>
          <t>Модуль памяти Samsung 64GB DDR5 M321R8GA0PB0-CWM 5600MHz DIMM 2Rx4 Registred ECC</t>
        </is>
      </c>
      <c r="E1123" s="2">
        <v>16</v>
      </c>
      <c r="F1123" s="2">
        <v>16</v>
      </c>
      <c r="H1123" s="2">
        <v>386</v>
      </c>
      <c r="I1123" s="2" t="inlineStr">
        <is>
          <t>$</t>
        </is>
      </c>
      <c r="J1123" s="2">
        <f>HYPERLINK("https://app.astro.lead-studio.pro/product/aa87f6fb-b05f-41d7-8c9b-fa1bee6df035")</f>
      </c>
    </row>
    <row r="1124" spans="1:10" customHeight="0">
      <c r="A1124" s="2" t="inlineStr">
        <is>
          <t>Платформы для серверов</t>
        </is>
      </c>
      <c r="B1124" s="2" t="inlineStr">
        <is>
          <t>Gigabyte</t>
        </is>
      </c>
      <c r="C1124" s="2" t="inlineStr">
        <is>
          <t>6NG242Z10MR-00-1132</t>
        </is>
      </c>
      <c r="D1124" s="2" t="inlineStr">
        <is>
          <t>Платформа системного блока Gigabyte G242-Z10 (rev. 100) 2U UP 4 x GPU Gen3 Server,NVIDIA® NGG Ready server,Single AMD EPYC 7002 series processor family,8-Channel RDIMM/LRDIMM DDR4 per processor,8 x DIMMs,2 x 1Gb/s LAN ports (Intel® I350-AM2),1 x dedicated management port,6NG242Z10MR-00-xxx</t>
        </is>
      </c>
      <c r="E1124" s="2">
        <v>2</v>
      </c>
      <c r="F1124" s="2">
        <v>2</v>
      </c>
      <c r="H1124" s="2">
        <v>4359</v>
      </c>
      <c r="I1124" s="2" t="inlineStr">
        <is>
          <t>$</t>
        </is>
      </c>
      <c r="J1124" s="2">
        <f>HYPERLINK("https://app.astro.lead-studio.pro/product/6895a1b5-057b-4d78-ac0d-952c6453f340")</f>
      </c>
    </row>
    <row r="1125" spans="1:10" customHeight="0">
      <c r="A1125" s="2" t="inlineStr">
        <is>
          <t>Платформы для серверов</t>
        </is>
      </c>
      <c r="B1125" s="2" t="inlineStr">
        <is>
          <t>Gigabyte</t>
        </is>
      </c>
      <c r="C1125" s="2" t="inlineStr">
        <is>
          <t>6NG2922G0MR-00-102</t>
        </is>
      </c>
      <c r="D1125" s="2" t="inlineStr">
        <is>
          <t>Платформа системного блока Gigabyte G292-2G0 2U Server (6NG2922G0MR-00-102)</t>
        </is>
      </c>
      <c r="E1125" s="2">
        <v>2</v>
      </c>
      <c r="F1125" s="2">
        <v>2</v>
      </c>
      <c r="H1125" s="2">
        <v>9517</v>
      </c>
      <c r="I1125" s="2" t="inlineStr">
        <is>
          <t>$</t>
        </is>
      </c>
      <c r="J1125" s="2">
        <f>HYPERLINK("https://app.astro.lead-studio.pro/product/bbe976e8-4a82-41b0-8346-301a18c8d67c")</f>
      </c>
    </row>
    <row r="1126" spans="1:10" customHeight="0">
      <c r="A1126" s="2" t="inlineStr">
        <is>
          <t>Платформы для серверов</t>
        </is>
      </c>
      <c r="B1126" s="2" t="inlineStr">
        <is>
          <t>Gigabyte</t>
        </is>
      </c>
      <c r="C1126" s="2" t="inlineStr">
        <is>
          <t>6NG293S41DR000AAP10</t>
        </is>
      </c>
      <c r="D1126" s="2" t="inlineStr">
        <is>
          <t>Платформа системного блока Gigabyte G293-S41-AAP1 6NG293S41DR000AAP1</t>
        </is>
      </c>
      <c r="E1126" s="2">
        <v>1</v>
      </c>
      <c r="F1126" s="2">
        <v>1</v>
      </c>
      <c r="H1126" s="2">
        <v>8058</v>
      </c>
      <c r="I1126" s="2" t="inlineStr">
        <is>
          <t>$</t>
        </is>
      </c>
      <c r="J1126" s="2">
        <f>HYPERLINK("https://app.astro.lead-studio.pro/product/daf3711c-4eca-4e76-a9ee-68b7eb5f0525")</f>
      </c>
    </row>
    <row r="1127" spans="1:10" customHeight="0">
      <c r="A1127" s="2" t="inlineStr">
        <is>
          <t>Платформы для серверов</t>
        </is>
      </c>
      <c r="B1127" s="2" t="inlineStr">
        <is>
          <t>Gigabyte</t>
        </is>
      </c>
      <c r="C1127" s="2" t="inlineStr">
        <is>
          <t>6NG482Z54MR-00-A15</t>
        </is>
      </c>
      <c r="D1127" s="2" t="inlineStr">
        <is>
          <t>Платформа системного блока G482-Z54</t>
        </is>
      </c>
      <c r="E1127" s="2">
        <v>4</v>
      </c>
      <c r="F1127" s="2">
        <v>4</v>
      </c>
      <c r="H1127" s="2">
        <v>7089</v>
      </c>
      <c r="I1127" s="2" t="inlineStr">
        <is>
          <t>$</t>
        </is>
      </c>
      <c r="J1127" s="2">
        <f>HYPERLINK("https://app.astro.lead-studio.pro/product/fa0f6ce9-5872-4e2e-84f8-16d950705d5c")</f>
      </c>
    </row>
    <row r="1128" spans="1:10" customHeight="0">
      <c r="A1128" s="2" t="inlineStr">
        <is>
          <t>Платформы для серверов</t>
        </is>
      </c>
      <c r="B1128" s="2" t="inlineStr">
        <is>
          <t>Gigabyte</t>
        </is>
      </c>
      <c r="C1128" s="2" t="inlineStr">
        <is>
          <t>6NR152P33MR-00-1001</t>
        </is>
      </c>
      <c r="D1128" s="2" t="inlineStr">
        <is>
          <t>Платформа системного блока Gigabyte 1U Server GBT With Q80-33 R152-P33</t>
        </is>
      </c>
      <c r="E1128" s="2">
        <v>1</v>
      </c>
      <c r="F1128" s="2">
        <v>1</v>
      </c>
      <c r="H1128" s="2">
        <v>10450</v>
      </c>
      <c r="I1128" s="2" t="inlineStr">
        <is>
          <t>$</t>
        </is>
      </c>
      <c r="J1128" s="2">
        <f>HYPERLINK("https://app.astro.lead-studio.pro/product/f33244af-71c7-4671-9896-5db98157a153")</f>
      </c>
    </row>
    <row r="1129" spans="1:10" customHeight="0">
      <c r="A1129" s="2" t="inlineStr">
        <is>
          <t>Платформы для серверов</t>
        </is>
      </c>
      <c r="B1129" s="2" t="inlineStr">
        <is>
          <t>Gigabyte</t>
        </is>
      </c>
      <c r="C1129" s="2" t="inlineStr">
        <is>
          <t>6NR182N20MR-00-101</t>
        </is>
      </c>
      <c r="D1129" s="2" t="inlineStr">
        <is>
          <t>Платформа системного блока Gigabyte 6NR182N20MR-00-101 (R182-N20)</t>
        </is>
      </c>
      <c r="E1129" s="2">
        <v>1</v>
      </c>
      <c r="F1129" s="2">
        <v>1</v>
      </c>
      <c r="H1129" s="2">
        <v>4046</v>
      </c>
      <c r="I1129" s="2" t="inlineStr">
        <is>
          <t>$</t>
        </is>
      </c>
      <c r="J1129" s="2">
        <f>HYPERLINK("https://app.astro.lead-studio.pro/product/83a21820-f164-4f32-b56e-7b182b5315cd")</f>
      </c>
    </row>
    <row r="1130" spans="1:10" customHeight="0">
      <c r="A1130" s="2" t="inlineStr">
        <is>
          <t>Платформы для серверов</t>
        </is>
      </c>
      <c r="B1130" s="2" t="inlineStr">
        <is>
          <t>Gigabyte</t>
        </is>
      </c>
      <c r="C1130" s="2" t="inlineStr">
        <is>
          <t>6NR2823C1MR-00-101</t>
        </is>
      </c>
      <c r="D1130" s="2" t="inlineStr">
        <is>
          <t>Платформа системного блока Gigabyte R282-3C1 2U, 2x LGA4189, 32x DIMM DDR4, 12x 3.5" SAS/SATA with expander 4x NVME Gen4, 2x 2.5" SATA/SAS in rear side, 2x 1Gb/s Intel I350-AM2, 3x PCIE Gen 4 x16, 4x PCIE Gen 4 x8, 1x OCP 3.0 x16, 1x OCP 2.0 x8, AST2600, 2x 1600W (600112)</t>
        </is>
      </c>
      <c r="E1130" s="2">
        <v>2</v>
      </c>
      <c r="F1130" s="2">
        <v>2</v>
      </c>
      <c r="H1130" s="2">
        <v>4438</v>
      </c>
      <c r="I1130" s="2" t="inlineStr">
        <is>
          <t>$</t>
        </is>
      </c>
      <c r="J1130" s="2">
        <f>HYPERLINK("https://app.astro.lead-studio.pro/product/c3750203-6379-43a4-8b0c-c14120ebf62f")</f>
      </c>
    </row>
    <row r="1131" spans="1:10" customHeight="0">
      <c r="A1131" s="2" t="inlineStr">
        <is>
          <t>Платформы для серверов</t>
        </is>
      </c>
      <c r="B1131" s="2" t="inlineStr">
        <is>
          <t>Gigabyte</t>
        </is>
      </c>
      <c r="C1131" s="2" t="inlineStr">
        <is>
          <t>6NR2823CAMR-M7-102</t>
        </is>
      </c>
      <c r="D1131" s="2" t="inlineStr">
        <is>
          <t>Платформа системного блока Gigabyte R282-3CA 2U, 2x LGA4189, 32x DIMM DDR4, 12x 3.5" SAS/SATA (8x NVME Gen 4), 2x 2.5" SATA/SAS in re side, 6x PCIE Gen 4 x16, 1x OCP 3.0 x16, 1x OCP 2.0 x8, AST2600, 2x 1300W, батарейка CR2032 не установлена</t>
        </is>
      </c>
      <c r="E1131" s="2">
        <v>2</v>
      </c>
      <c r="F1131" s="2">
        <v>2</v>
      </c>
      <c r="H1131" s="2">
        <v>3456</v>
      </c>
      <c r="I1131" s="2" t="inlineStr">
        <is>
          <t>$</t>
        </is>
      </c>
      <c r="J1131" s="2">
        <f>HYPERLINK("https://app.astro.lead-studio.pro/product/7accdb44-f763-47e9-871e-40146d7f5e96")</f>
      </c>
    </row>
    <row r="1132" spans="1:10" customHeight="0">
      <c r="A1132" s="2" t="inlineStr">
        <is>
          <t>Платформы для серверов</t>
        </is>
      </c>
      <c r="B1132" s="2" t="inlineStr">
        <is>
          <t>Gigabyte</t>
        </is>
      </c>
      <c r="C1132" s="2" t="inlineStr">
        <is>
          <t>6NR282G30MR-00-101</t>
        </is>
      </c>
      <c r="D1132" s="2" t="inlineStr">
        <is>
          <t>Платформа системного блока Gigabyte R282-G30 2U, 2x LGA4189, 32x DIMM DDR4, 12x 3.5" SAS/SATA 4x NVME Gen4, 2x 1Gb/s Intel I350-AM2, 5x PCIE Gen 4 x16 support 3x double slot GPU, 1x OCP 3.0 x16, 1x OCP 2.0 x8, AST2600, 2x 2400W (600150)</t>
        </is>
      </c>
      <c r="E1132" s="2">
        <v>2</v>
      </c>
      <c r="F1132" s="2">
        <v>2</v>
      </c>
      <c r="H1132" s="2">
        <v>4933</v>
      </c>
      <c r="I1132" s="2" t="inlineStr">
        <is>
          <t>$</t>
        </is>
      </c>
      <c r="J1132" s="2">
        <f>HYPERLINK("https://app.astro.lead-studio.pro/product/7feaf9d7-4e40-41b8-b0e3-d8cc4fc076e1")</f>
      </c>
    </row>
    <row r="1133" spans="1:10" customHeight="0">
      <c r="A1133" s="2" t="inlineStr">
        <is>
          <t>Платформы для серверов</t>
        </is>
      </c>
      <c r="B1133" s="2" t="inlineStr">
        <is>
          <t>Gigabyte</t>
        </is>
      </c>
      <c r="C1133" s="2" t="inlineStr">
        <is>
          <t>6NR283S93DR000AAL12</t>
        </is>
      </c>
      <c r="D1133" s="2" t="inlineStr">
        <is>
          <t>Платформа системного блока Gigabyte R283-S93-AAL1</t>
        </is>
      </c>
      <c r="E1133" s="2">
        <v>24</v>
      </c>
      <c r="F1133" s="2">
        <v>24</v>
      </c>
      <c r="H1133" s="2">
        <v>5531</v>
      </c>
      <c r="I1133" s="2" t="inlineStr">
        <is>
          <t>$</t>
        </is>
      </c>
      <c r="J1133" s="2">
        <f>HYPERLINK("https://app.astro.lead-studio.pro/product/3385d3f9-388e-4b9f-8d7c-433c8c1c0148")</f>
      </c>
    </row>
    <row r="1134" spans="1:10" customHeight="0">
      <c r="A1134" s="2" t="inlineStr">
        <is>
          <t>Платформы для серверов</t>
        </is>
      </c>
      <c r="B1134" s="2" t="inlineStr">
        <is>
          <t>Gigabyte</t>
        </is>
      </c>
      <c r="C1134" s="2" t="inlineStr">
        <is>
          <t>6NR283SF1DR000AAL12</t>
        </is>
      </c>
      <c r="D1134" s="2" t="inlineStr">
        <is>
          <t>Платформа системного блока Gigabyte R283-SF1-AAL1</t>
        </is>
      </c>
      <c r="E1134" s="2">
        <v>1</v>
      </c>
      <c r="F1134" s="2">
        <v>1</v>
      </c>
      <c r="H1134" s="2">
        <v>5241</v>
      </c>
      <c r="I1134" s="2" t="inlineStr">
        <is>
          <t>$</t>
        </is>
      </c>
      <c r="J1134" s="2">
        <f>HYPERLINK("https://app.astro.lead-studio.pro/product/342977bb-59cb-4182-9660-6fb20b9a8f5b")</f>
      </c>
    </row>
    <row r="1135" spans="1:10" customHeight="0">
      <c r="A1135" s="2" t="inlineStr">
        <is>
          <t>Платформы для серверов</t>
        </is>
      </c>
      <c r="B1135" s="2" t="inlineStr">
        <is>
          <t>Lenovo</t>
        </is>
      </c>
      <c r="C1135" s="2" t="inlineStr">
        <is>
          <t>7Y16S09L00</t>
        </is>
      </c>
      <c r="D1135" s="2" t="inlineStr">
        <is>
          <t>Платформа системного блока с ЦПУ Lenovo 7Y16S09L00 ST558 Xeon Silver 4210R (10C 2.4GHz 13.75MB Cache/100W) 16GB 2933MHz (1x16GB, 2Rx8 RDIMM), O/B, 9350-8i, 1x750W, XCC Enterprise , No DVD   3.5»HDD Bay</t>
        </is>
      </c>
      <c r="E1135" s="2">
        <v>3</v>
      </c>
      <c r="F1135" s="2">
        <v>3</v>
      </c>
      <c r="H1135" s="2">
        <v>5077</v>
      </c>
      <c r="I1135" s="2" t="inlineStr">
        <is>
          <t>$</t>
        </is>
      </c>
      <c r="J1135" s="2">
        <f>HYPERLINK("https://app.astro.lead-studio.pro/product/17a6e7aa-2a7a-4b6e-a40c-2f69235d6b39")</f>
      </c>
    </row>
    <row r="1136" spans="1:10" customHeight="0">
      <c r="A1136" s="2" t="inlineStr">
        <is>
          <t>Платформы для серверов</t>
        </is>
      </c>
      <c r="B1136" s="2" t="inlineStr">
        <is>
          <t>Lenovo</t>
        </is>
      </c>
      <c r="C1136" s="2" t="inlineStr">
        <is>
          <t>7Y16S09T00</t>
        </is>
      </c>
      <c r="D1136" s="2" t="inlineStr">
        <is>
          <t>Платформа системного блока с ЦПУ Lenovo 7Y16S09T00 ST558 Xeon Silver 4208 (8C 2.1GHz 11MB Cache/85W) 16GB 2933MHz (1x16GB, 2Rx8 RDIMM), O/B, 5350-8i , 1x750W, XCC Enterprise , No DVD  3.5»HDD Bay,</t>
        </is>
      </c>
      <c r="E1136" s="2">
        <v>1</v>
      </c>
      <c r="F1136" s="2">
        <v>1</v>
      </c>
      <c r="H1136" s="2">
        <v>4186</v>
      </c>
      <c r="I1136" s="2" t="inlineStr">
        <is>
          <t>$</t>
        </is>
      </c>
      <c r="J1136" s="2">
        <f>HYPERLINK("https://app.astro.lead-studio.pro/product/db763b29-5359-455f-9c97-f327158c1b22")</f>
      </c>
    </row>
    <row r="1137" spans="1:10" customHeight="0">
      <c r="A1137" s="2" t="inlineStr">
        <is>
          <t>Платформы для серверов</t>
        </is>
      </c>
      <c r="B1137" s="2" t="inlineStr">
        <is>
          <t>Lenovo</t>
        </is>
      </c>
      <c r="C1137" s="2" t="inlineStr">
        <is>
          <t>7Z71TQ8000</t>
        </is>
      </c>
      <c r="D1137" s="2" t="inlineStr">
        <is>
          <t>Платформа системного блока с ЦПУ Lenovo 7Z71SJD000 SR630 V2 Xeon Silver 4310 (12C 2.1GHz 18MB Cache/120W), 32GB  (1x32GB, 3200MHz 2Rx4 RDIMM), 8 SAS/SATA, 9350-8i, 1x750W Platinum, 6 Standard Fans, XCC Enterprise, Toolless V2 Rails,</t>
        </is>
      </c>
      <c r="E1137" s="2">
        <v>7</v>
      </c>
      <c r="F1137" s="2">
        <v>7</v>
      </c>
      <c r="H1137" s="2">
        <v>4774</v>
      </c>
      <c r="I1137" s="2" t="inlineStr">
        <is>
          <t>$</t>
        </is>
      </c>
      <c r="J1137" s="2">
        <f>HYPERLINK("https://app.astro.lead-studio.pro/product/848d421d-66c9-42eb-b70b-ec99489b6399")</f>
      </c>
    </row>
    <row r="1138" spans="1:10" customHeight="0">
      <c r="A1138" s="2" t="inlineStr">
        <is>
          <t>Платформы для серверов</t>
        </is>
      </c>
      <c r="B1138" s="2" t="inlineStr">
        <is>
          <t>Lenovo</t>
        </is>
      </c>
      <c r="C1138" s="2" t="inlineStr">
        <is>
          <t>7Z73TA7Y00</t>
        </is>
      </c>
      <c r="D1138" s="2" t="inlineStr">
        <is>
          <t>Платформа системного блока с ЦПУ Lenovo 7Z73TA7Y00 SR650 V2 Xeon Gold 6326 (16C 2.9GHz 24MB Cache/185W), 32GB  (1x32GB, 3200MHz 2Rx4 RDIMM), 8 SAS/SATA, 9350-8i, 1x750W Platinum, 5 Standard Fans, XCC Enterprise, Toolless V2 Rails</t>
        </is>
      </c>
      <c r="E1138" s="2">
        <v>1</v>
      </c>
      <c r="F1138" s="2">
        <v>1</v>
      </c>
      <c r="H1138" s="2">
        <v>6905</v>
      </c>
      <c r="I1138" s="2" t="inlineStr">
        <is>
          <t>$</t>
        </is>
      </c>
      <c r="J1138" s="2">
        <f>HYPERLINK("https://app.astro.lead-studio.pro/product/948a914f-33de-4b65-aaae-495ddc919ef0")</f>
      </c>
    </row>
    <row r="1139" spans="1:10" customHeight="0">
      <c r="A1139" s="2" t="inlineStr">
        <is>
          <t>Платформы для серверов</t>
        </is>
      </c>
      <c r="B1139" s="2" t="inlineStr">
        <is>
          <t>Lenovo</t>
        </is>
      </c>
      <c r="C1139" s="2" t="inlineStr">
        <is>
          <t>7Z73TA8100</t>
        </is>
      </c>
      <c r="D1139" s="2" t="inlineStr">
        <is>
          <t>Платформа системного блока с ЦПУ Lenovo 7Z73TA8100 SR650 V2 Xeon Silver 4314 (16C 2.4GHz 24MB Cache/135W), 32GB  (1x32GB, 3200MHz 2Rx4 RDIMM), 8 SAS/SATA, 9350-8i, 1x750W Platinum, 5 Standard Fans, XCC Enterprise, Toolless V2 Rails</t>
        </is>
      </c>
      <c r="E1139" s="2">
        <v>7</v>
      </c>
      <c r="F1139" s="2">
        <v>7</v>
      </c>
      <c r="H1139" s="2">
        <v>5059</v>
      </c>
      <c r="I1139" s="2" t="inlineStr">
        <is>
          <t>$</t>
        </is>
      </c>
      <c r="J1139" s="2">
        <f>HYPERLINK("https://app.astro.lead-studio.pro/product/018f98b0-532a-4b4e-a53b-1bbd0f6e4501")</f>
      </c>
    </row>
    <row r="1140" spans="1:10" customHeight="0">
      <c r="A1140" s="2" t="inlineStr">
        <is>
          <t>Платформы для серверов</t>
        </is>
      </c>
      <c r="B1140" s="2" t="inlineStr">
        <is>
          <t>Lenovo</t>
        </is>
      </c>
      <c r="C1140" s="2" t="inlineStr">
        <is>
          <t>7Z73TA8300</t>
        </is>
      </c>
      <c r="D1140" s="2" t="inlineStr">
        <is>
          <t>Платформа системного блока с ЦПУ Lenovo 7Z73TA8300 SR650 V2 Xeon Silver 4310 (12C 2.1GHz 18MB Cache/120W), 32GB  (1x32GB, 3200MHz 2Rx4 RDIMM), 8 SAS/SATA, 9350-8i, 1x750W Platinum, 5 Standard Fans, XCC Enterprise, Toolless V2 Rails</t>
        </is>
      </c>
      <c r="E1140" s="2">
        <v>10</v>
      </c>
      <c r="F1140" s="2">
        <v>10</v>
      </c>
      <c r="H1140" s="2">
        <v>5132</v>
      </c>
      <c r="I1140" s="2" t="inlineStr">
        <is>
          <t>$</t>
        </is>
      </c>
      <c r="J1140" s="2">
        <f>HYPERLINK("https://app.astro.lead-studio.pro/product/f5292a87-c380-4d9c-a066-f35a900ac836")</f>
      </c>
    </row>
    <row r="1141" spans="1:10" customHeight="0">
      <c r="A1141" s="2" t="inlineStr">
        <is>
          <t>Платформы для серверов</t>
        </is>
      </c>
      <c r="B1141" s="2" t="inlineStr">
        <is>
          <t>Lenovo</t>
        </is>
      </c>
      <c r="C1141" s="2" t="inlineStr">
        <is>
          <t>7Z73TA8500</t>
        </is>
      </c>
      <c r="D1141" s="2" t="inlineStr">
        <is>
          <t>Платформа системного блока с ЦПУ Lenovo 7Z73TA8500 SR650 V2 Xeon Silver 4309Y (8C 2.8GHz 12MB Cache/105W), 32GB  (1x32GB, 3200MHz 2Rx4 RDIMM), 8 SAS/SATA, 9350-8i, 1x750W Platinum, 5 Standard Fans, XCC Enterprise, Toolless V2 Rails</t>
        </is>
      </c>
      <c r="E1141" s="2">
        <v>9</v>
      </c>
      <c r="F1141" s="2">
        <v>9</v>
      </c>
      <c r="H1141" s="2">
        <v>5075</v>
      </c>
      <c r="I1141" s="2" t="inlineStr">
        <is>
          <t>$</t>
        </is>
      </c>
      <c r="J1141" s="2">
        <f>HYPERLINK("https://app.astro.lead-studio.pro/product/ec2a9023-4765-4d52-b646-e117cc8a752d")</f>
      </c>
    </row>
    <row r="1142" spans="1:10" customHeight="0">
      <c r="A1142" s="2" t="inlineStr">
        <is>
          <t>Платформы для серверов</t>
        </is>
      </c>
      <c r="B1142" s="2" t="inlineStr">
        <is>
          <t>Lenovo</t>
        </is>
      </c>
      <c r="C1142" s="2" t="inlineStr">
        <is>
          <t>7Z74S22700</t>
        </is>
      </c>
      <c r="D1142" s="2" t="inlineStr">
        <is>
          <t>Платформа системного блока с ЦПУ Lenovo 7Z74S22700 ST650 V2 Xeon Silver 4309Y (8C 2.8GHz 12MB Cache/105W), 32GB  (1x32GB, 3200MHz 2Rx4 RDIMM), 8 SAS/SATA, 940-8i 4G, 1x750W Platinum, 3 Standard Fans, XCC Enterprise</t>
        </is>
      </c>
      <c r="E1142" s="2">
        <v>1</v>
      </c>
      <c r="F1142" s="2">
        <v>1</v>
      </c>
      <c r="H1142" s="2">
        <v>6913</v>
      </c>
      <c r="I1142" s="2" t="inlineStr">
        <is>
          <t>$</t>
        </is>
      </c>
      <c r="J1142" s="2">
        <f>HYPERLINK("https://app.astro.lead-studio.pro/product/63eede73-4d41-4cb2-ac42-b1abab0e6cbd")</f>
      </c>
    </row>
    <row r="1143" spans="1:10" customHeight="0">
      <c r="A1143" s="2" t="inlineStr">
        <is>
          <t>Платформы для серверов</t>
        </is>
      </c>
      <c r="B1143" s="2" t="inlineStr">
        <is>
          <t>ASUS</t>
        </is>
      </c>
      <c r="C1143" s="2" t="inlineStr">
        <is>
          <t>90SF00C1-M06010</t>
        </is>
      </c>
      <c r="D1143" s="2" t="inlineStr">
        <is>
          <t>Платформа системного блока  ESC700 G4/750W /WOCPU/WOM/WOGPU/Z  /7A/WOS/WOA/WON/WOM/WONCRD/WORCRD/EU </t>
        </is>
      </c>
      <c r="E1143" s="2">
        <v>1</v>
      </c>
      <c r="F1143" s="2">
        <v>1</v>
      </c>
      <c r="H1143" s="2">
        <v>1029</v>
      </c>
      <c r="I1143" s="2" t="inlineStr">
        <is>
          <t>$</t>
        </is>
      </c>
      <c r="J1143" s="2">
        <f>HYPERLINK("https://app.astro.lead-studio.pro/product/84aae788-3b41-4605-a930-8501c3550c43")</f>
      </c>
    </row>
    <row r="1144" spans="1:10" customHeight="0">
      <c r="A1144" s="2" t="inlineStr">
        <is>
          <t>Платформы для серверов</t>
        </is>
      </c>
      <c r="B1144" s="2" t="inlineStr">
        <is>
          <t>ASUS</t>
        </is>
      </c>
      <c r="C1144" s="2" t="inlineStr">
        <is>
          <t>90SF00Z3-M000T0</t>
        </is>
      </c>
      <c r="D1144" s="2" t="inlineStr">
        <is>
          <t>Платформа системного блока ASUS RS720-E10-RS24U 6x SFF8643 (SAS/SATA)+ 4x SFF8654x8 (support 24xNVME with expander) on the backplane, 2x 10GbE (Intel x710), 2x 1600W (90SF00Z3-M000T0) (466185) (10G-1,6KW)</t>
        </is>
      </c>
      <c r="E1144" s="2">
        <v>6</v>
      </c>
      <c r="F1144" s="2">
        <v>6</v>
      </c>
      <c r="H1144" s="2">
        <v>6713</v>
      </c>
      <c r="I1144" s="2" t="inlineStr">
        <is>
          <t>$</t>
        </is>
      </c>
      <c r="J1144" s="2">
        <f>HYPERLINK("https://app.astro.lead-studio.pro/product/74a68638-234d-4773-890c-e85efc69ccb0")</f>
      </c>
    </row>
    <row r="1145" spans="1:10" customHeight="0">
      <c r="A1145" s="2" t="inlineStr">
        <is>
          <t>Платформы для серверов</t>
        </is>
      </c>
      <c r="B1145" s="2" t="inlineStr">
        <is>
          <t>ASUS</t>
        </is>
      </c>
      <c r="C1145" s="2" t="inlineStr">
        <is>
          <t>90SF0141-M000C0||bp</t>
        </is>
      </c>
      <c r="D1145" s="2" t="inlineStr">
        <is>
          <t>Платформа системного блока ASUS RS720Q-E10-RS8U  /30R2/WOS/WOA/WON/WOM/WONCRD/WORCRD/EU /WOCPU/WOM/WOGPU/Z </t>
        </is>
      </c>
      <c r="E1145" s="2">
        <v>2</v>
      </c>
      <c r="F1145" s="2">
        <v>2</v>
      </c>
      <c r="H1145" s="2">
        <v>2871</v>
      </c>
      <c r="I1145" s="2" t="inlineStr">
        <is>
          <t>$</t>
        </is>
      </c>
      <c r="J1145" s="2">
        <f>HYPERLINK("https://app.astro.lead-studio.pro/product/c8233086-a58e-4c7a-8df6-75d2f9506edf")</f>
      </c>
    </row>
    <row r="1146" spans="1:10" customHeight="0">
      <c r="A1146" s="2" t="inlineStr">
        <is>
          <t>Платформы для серверов</t>
        </is>
      </c>
      <c r="B1146" s="2" t="inlineStr">
        <is>
          <t>ASUS</t>
        </is>
      </c>
      <c r="C1146" s="2" t="inlineStr">
        <is>
          <t>90SF0153-M002H0</t>
        </is>
      </c>
      <c r="D1146" s="2" t="inlineStr">
        <is>
          <t>Платформа системного блока ASUS RS700-E10-RS4U 1x SFF8643 + 2x SFF8654x8, 4x trays (4x NVMe/SAS/SATA on the backplane, 4 NVMe to m/b), 1x OCP 3.0, 2x X710-AT2 10G, DVD-RW, 2x 800W (612582)</t>
        </is>
      </c>
      <c r="E1146" s="2">
        <v>1</v>
      </c>
      <c r="F1146" s="2">
        <v>1</v>
      </c>
      <c r="H1146" s="2">
        <v>4043</v>
      </c>
      <c r="I1146" s="2" t="inlineStr">
        <is>
          <t>$</t>
        </is>
      </c>
      <c r="J1146" s="2">
        <f>HYPERLINK("https://app.astro.lead-studio.pro/product/db36c67e-99a0-42f4-bcfe-05a4f95ff8a9")</f>
      </c>
    </row>
    <row r="1147" spans="1:10" customHeight="0">
      <c r="A1147" s="2" t="inlineStr">
        <is>
          <t>Платформы для серверов</t>
        </is>
      </c>
      <c r="B1147" s="2" t="inlineStr">
        <is>
          <t>ASUS</t>
        </is>
      </c>
      <c r="C1147" s="2" t="inlineStr">
        <is>
          <t>90SF01G5-M000B0</t>
        </is>
      </c>
      <c r="D1147" s="2" t="inlineStr">
        <is>
          <t>Платформа системного блока ASUS RS720A-E11-RS24U 6x SFF8643 (SAS/SATA)+ 4x SFF8654x8 (support 24xNVME with expander) on the backplane, 2x 10GbE (Intel x710), GPU support, 2x 2400W, (425724)</t>
        </is>
      </c>
      <c r="E1147" s="2">
        <v>10</v>
      </c>
      <c r="F1147" s="2">
        <v>10</v>
      </c>
      <c r="H1147" s="2">
        <v>6765</v>
      </c>
      <c r="I1147" s="2" t="inlineStr">
        <is>
          <t>$</t>
        </is>
      </c>
      <c r="J1147" s="2">
        <f>HYPERLINK("https://app.astro.lead-studio.pro/product/f7574b5c-427c-46b4-ac1b-89f223d8c4a4")</f>
      </c>
    </row>
    <row r="1148" spans="1:10" customHeight="0">
      <c r="A1148" s="2" t="inlineStr">
        <is>
          <t>Платформы для серверов</t>
        </is>
      </c>
      <c r="B1148" s="2" t="inlineStr">
        <is>
          <t>ASUS</t>
        </is>
      </c>
      <c r="C1148" s="2" t="inlineStr">
        <is>
          <t>90SF01G5-M008P0</t>
        </is>
      </c>
      <c r="D1148" s="2" t="inlineStr">
        <is>
          <t>Платформа системного блока ASUS RS720A-E11-RS12/10G/GPU (90SF01G5-M008P0) / WOCPU / WOM / GWOG / Z / 24R2 / WOS / WOA / WON / WOM / WONCRD / WORCRD / EU</t>
        </is>
      </c>
      <c r="E1148" s="2">
        <v>5</v>
      </c>
      <c r="F1148" s="2">
        <v>5</v>
      </c>
      <c r="H1148" s="2">
        <v>5073</v>
      </c>
      <c r="I1148" s="2" t="inlineStr">
        <is>
          <t>$</t>
        </is>
      </c>
      <c r="J1148" s="2">
        <f>HYPERLINK("https://app.astro.lead-studio.pro/product/1cafd35c-5a4e-428a-9e98-be9edde4a052")</f>
      </c>
    </row>
    <row r="1149" spans="1:10" customHeight="0">
      <c r="A1149" s="2" t="inlineStr">
        <is>
          <t>Платформы для серверов</t>
        </is>
      </c>
      <c r="B1149" s="2" t="inlineStr">
        <is>
          <t>ASUS</t>
        </is>
      </c>
      <c r="C1149" s="2" t="inlineStr">
        <is>
          <t>90SF01Z1-M008V0</t>
        </is>
      </c>
      <c r="D1149" s="2" t="inlineStr">
        <is>
          <t>Платформа системного блока ASUS RS720-E11-RS24U /WOCPU/WOM/GWOG/Z/26R2/WOS/WOA/WON/WOM/WONCRD/WORCRD/EU</t>
        </is>
      </c>
      <c r="E1149" s="2">
        <v>30</v>
      </c>
      <c r="F1149" s="2">
        <v>30</v>
      </c>
      <c r="H1149" s="2">
        <v>5374</v>
      </c>
      <c r="I1149" s="2" t="inlineStr">
        <is>
          <t>$</t>
        </is>
      </c>
      <c r="J1149" s="2">
        <f>HYPERLINK("https://app.astro.lead-studio.pro/product/1039d153-c80c-45a6-9af5-0989f1cb0006")</f>
      </c>
    </row>
    <row r="1150" spans="1:10" customHeight="0">
      <c r="A1150" s="2" t="inlineStr">
        <is>
          <t>Платформы для серверов</t>
        </is>
      </c>
      <c r="B1150" s="2" t="inlineStr">
        <is>
          <t>ASUS</t>
        </is>
      </c>
      <c r="C1150" s="2" t="inlineStr">
        <is>
          <t>90SF0214-M00DV0</t>
        </is>
      </c>
      <c r="D1150" s="2" t="inlineStr">
        <is>
          <t>Платформа системного блока ASUS ESC8000A-E11-M00BT0/CIS WOCPU / WOM / WOGPU / Z / 22R4 / WOS / WOA / WON / WOM / WONCRD / WORCRD / EU</t>
        </is>
      </c>
      <c r="E1150" s="2">
        <v>10</v>
      </c>
      <c r="F1150" s="2">
        <v>10</v>
      </c>
      <c r="H1150" s="2">
        <v>6036</v>
      </c>
      <c r="I1150" s="2" t="inlineStr">
        <is>
          <t>$</t>
        </is>
      </c>
      <c r="J1150" s="2">
        <f>HYPERLINK("https://app.astro.lead-studio.pro/product/3b4f373a-9003-4abf-a539-19c80bf22b3a")</f>
      </c>
    </row>
    <row r="1151" spans="1:10" customHeight="0">
      <c r="A1151" s="2" t="inlineStr">
        <is>
          <t>Платформы для серверов</t>
        </is>
      </c>
      <c r="B1151" s="2" t="inlineStr">
        <is>
          <t>ASUS</t>
        </is>
      </c>
      <c r="C1151" s="2" t="inlineStr">
        <is>
          <t>90SF02D1-M00280</t>
        </is>
      </c>
      <c r="D1151" s="2" t="inlineStr">
        <is>
          <t>RS700A-E12-RS4U/WOCPU/WOM/GWOG/Z</t>
        </is>
      </c>
      <c r="E1151" s="2">
        <v>1</v>
      </c>
      <c r="F1151" s="2">
        <v>1</v>
      </c>
      <c r="H1151" s="2">
        <v>5597</v>
      </c>
      <c r="I1151" s="2" t="inlineStr">
        <is>
          <t>$</t>
        </is>
      </c>
      <c r="J1151" s="2">
        <f>HYPERLINK("https://app.astro.lead-studio.pro/product/d91f6fbb-fc62-4991-b6c6-33c6830188e6")</f>
      </c>
    </row>
    <row r="1152" spans="1:10" customHeight="0">
      <c r="A1152" s="2" t="inlineStr">
        <is>
          <t>Платформы для серверов</t>
        </is>
      </c>
      <c r="B1152" s="2" t="inlineStr">
        <is>
          <t>ASUS</t>
        </is>
      </c>
      <c r="C1152" s="2" t="inlineStr">
        <is>
          <t>90SF02D1-M006Z0</t>
        </is>
      </c>
      <c r="D1152" s="2" t="inlineStr">
        <is>
          <t>Платформа системного блока ASUS RS700A-E12-RS12U /WOCPU/WOM/GWOG/Z/26R2/WOS/WOA/WON/WOM/WONCRD/WORCRD/EU</t>
        </is>
      </c>
      <c r="E1152" s="2">
        <v>3</v>
      </c>
      <c r="F1152" s="2">
        <v>3</v>
      </c>
      <c r="H1152" s="2">
        <v>8328</v>
      </c>
      <c r="I1152" s="2" t="inlineStr">
        <is>
          <t>$</t>
        </is>
      </c>
      <c r="J1152" s="2">
        <f>HYPERLINK("https://app.astro.lead-studio.pro/product/c4d85942-9524-48a4-8394-8c645c40546f")</f>
      </c>
    </row>
    <row r="1153" spans="1:10" customHeight="0">
      <c r="A1153" s="2" t="inlineStr">
        <is>
          <t>Платформы для серверов</t>
        </is>
      </c>
      <c r="B1153" s="2" t="inlineStr">
        <is>
          <t>ASUS</t>
        </is>
      </c>
      <c r="C1153" s="2" t="inlineStr">
        <is>
          <t>90SF02G1-M000D0</t>
        </is>
      </c>
      <c r="D1153" s="2" t="inlineStr">
        <is>
          <t>Платформа системного блока ASUS RS520A-E12-RS24U/WOCPU/WOM/WOGPU/Z </t>
        </is>
      </c>
      <c r="E1153" s="2">
        <v>3</v>
      </c>
      <c r="F1153" s="2">
        <v>3</v>
      </c>
      <c r="H1153" s="2">
        <v>4548</v>
      </c>
      <c r="I1153" s="2" t="inlineStr">
        <is>
          <t>$</t>
        </is>
      </c>
      <c r="J1153" s="2">
        <f>HYPERLINK("https://app.astro.lead-studio.pro/product/98ccac0d-9fcb-406e-bdd3-a8726ea601d3")</f>
      </c>
    </row>
    <row r="1154" spans="1:10" customHeight="0">
      <c r="A1154" s="2" t="inlineStr">
        <is>
          <t>Платформы для серверов</t>
        </is>
      </c>
      <c r="B1154" s="2" t="inlineStr">
        <is>
          <t>ASUS</t>
        </is>
      </c>
      <c r="C1154" s="2" t="inlineStr">
        <is>
          <t>90SF02I1-M003D0</t>
        </is>
      </c>
      <c r="D1154" s="2" t="inlineStr">
        <is>
          <t>Платформа системного блока ASUS ESC8000-E11/30R4/WOS/WOA/WON/WOM/WONCRD/WORCRD/EU (90SF02I1-M003D0 ) </t>
        </is>
      </c>
      <c r="E1154" s="2">
        <v>2</v>
      </c>
      <c r="F1154" s="2">
        <v>2</v>
      </c>
      <c r="H1154" s="2">
        <v>11970</v>
      </c>
      <c r="I1154" s="2" t="inlineStr">
        <is>
          <t>$</t>
        </is>
      </c>
      <c r="J1154" s="2">
        <f>HYPERLINK("https://app.astro.lead-studio.pro/product/834f7f2a-9170-47fa-9b7b-86780f109227")</f>
      </c>
    </row>
    <row r="1155" spans="1:10" customHeight="0">
      <c r="A1155" s="2" t="inlineStr">
        <is>
          <t>Платформы для серверов</t>
        </is>
      </c>
      <c r="B1155" s="2" t="inlineStr">
        <is>
          <t>ASUS</t>
        </is>
      </c>
      <c r="C1155" s="2" t="inlineStr">
        <is>
          <t>90SF02I2-M003E0</t>
        </is>
      </c>
      <c r="D1155" s="2" t="inlineStr">
        <is>
          <t>Платформа системного блока ASUS ESC8000-E11/30R4/WOS/WOA/WON/WOM/WONCRD/WORCRD/EU(90SF02I2-M003E0) </t>
        </is>
      </c>
      <c r="E1155" s="2">
        <v>3</v>
      </c>
      <c r="F1155" s="2">
        <v>3</v>
      </c>
      <c r="H1155" s="2">
        <v>13007</v>
      </c>
      <c r="I1155" s="2" t="inlineStr">
        <is>
          <t>$</t>
        </is>
      </c>
      <c r="J1155" s="2">
        <f>HYPERLINK("https://app.astro.lead-studio.pro/product/1e9e4cab-4f7b-4620-9b94-104805b2124e")</f>
      </c>
    </row>
    <row r="1156" spans="1:10" customHeight="0">
      <c r="A1156" s="2" t="inlineStr">
        <is>
          <t>Платформы для серверов</t>
        </is>
      </c>
      <c r="B1156" s="2" t="inlineStr">
        <is>
          <t>ASUS</t>
        </is>
      </c>
      <c r="C1156" s="2" t="inlineStr">
        <is>
          <t>90SV03EA-M04CE0||bp</t>
        </is>
      </c>
      <c r="D1156" s="2" t="inlineStr">
        <is>
          <t>Платформа системного блока ASUS TS300-E9-PS4 1x SFF8643, DVD-RW, 1x 500W, Optional ASMB8-iKVM (375022)</t>
        </is>
      </c>
      <c r="E1156" s="2">
        <v>3</v>
      </c>
      <c r="F1156" s="2">
        <v>3</v>
      </c>
      <c r="H1156" s="2">
        <v>790</v>
      </c>
      <c r="I1156" s="2" t="inlineStr">
        <is>
          <t>$</t>
        </is>
      </c>
      <c r="J1156" s="2">
        <f>HYPERLINK("https://app.astro.lead-studio.pro/product/94dca14c-a534-4073-b870-5530bd1909c7")</f>
      </c>
    </row>
    <row r="1157" spans="1:10" customHeight="0">
      <c r="A1157" s="2" t="inlineStr">
        <is>
          <t>Платформы для серверов</t>
        </is>
      </c>
      <c r="B1157" s="2" t="inlineStr">
        <is>
          <t>SuperMicro</t>
        </is>
      </c>
      <c r="C1157" s="2" t="inlineStr">
        <is>
          <t>AS-1014S-WTRT</t>
        </is>
      </c>
      <c r="D1157" s="2" t="inlineStr">
        <is>
          <t>Сервер SuperMicro AS-1014S-WTRT AMD 7352 *1/ 32G DDR4 RECC 3200MHz *8/ PM883 480GB *2/ AOC-S3108L-H8IR-16DD *1/ DCMS-SINGLE *1</t>
        </is>
      </c>
      <c r="E1157" s="2">
        <v>1</v>
      </c>
      <c r="F1157" s="2">
        <v>1</v>
      </c>
      <c r="H1157" s="2">
        <v>10048</v>
      </c>
      <c r="I1157" s="2" t="inlineStr">
        <is>
          <t>$</t>
        </is>
      </c>
      <c r="J1157" s="2">
        <f>HYPERLINK("https://app.astro.lead-studio.pro/product/44a8b045-9981-4f6d-9636-9ed472328574")</f>
      </c>
    </row>
    <row r="1158" spans="1:10" customHeight="0">
      <c r="A1158" s="2" t="inlineStr">
        <is>
          <t>Платформы для серверов</t>
        </is>
      </c>
      <c r="B1158" s="2" t="inlineStr">
        <is>
          <t>SuperMicro</t>
        </is>
      </c>
      <c r="C1158" s="2" t="inlineStr">
        <is>
          <t>AS -5014A-TT</t>
        </is>
      </c>
      <c r="D1158" s="2" t="inlineStr">
        <is>
          <t>Платформа системного блока SuperMicro AS -5014A-TT</t>
        </is>
      </c>
      <c r="E1158" s="2">
        <v>4</v>
      </c>
      <c r="F1158" s="2">
        <v>4</v>
      </c>
      <c r="H1158" s="2">
        <v>2479</v>
      </c>
      <c r="I1158" s="2" t="inlineStr">
        <is>
          <t>$</t>
        </is>
      </c>
      <c r="J1158" s="2">
        <f>HYPERLINK("https://app.astro.lead-studio.pro/product/6f922f8e-2a14-4dcd-820f-3229e33be99e")</f>
      </c>
    </row>
    <row r="1159" spans="1:10" customHeight="0">
      <c r="A1159" s="2" t="inlineStr">
        <is>
          <t>Платформы для серверов</t>
        </is>
      </c>
      <c r="B1159" s="2" t="inlineStr">
        <is>
          <t>AIC</t>
        </is>
      </c>
      <c r="C1159" s="2" t="inlineStr">
        <is>
          <t>BP201-LX</t>
        </is>
      </c>
      <c r="D1159" s="2" t="inlineStr">
        <is>
          <t>BP201-LX 2U, 2x2.5" internal, Lynx (2xs3647,24xDDR4 DIMM, 2x1GbE, dedicated BMC port,2xM.2 NGFF),4xPClex16, 2x OCP 2.0 mezzanine, 800W 1+180+ Platinum, 28""slide rail</t>
        </is>
      </c>
      <c r="E1159" s="2">
        <v>5</v>
      </c>
      <c r="F1159" s="2">
        <v>5</v>
      </c>
      <c r="H1159" s="2">
        <v>4099</v>
      </c>
      <c r="I1159" s="2" t="inlineStr">
        <is>
          <t>$</t>
        </is>
      </c>
      <c r="J1159" s="2">
        <f>HYPERLINK("https://app.astro.lead-studio.pro/product/781ab7d8-a49f-43f3-b9a5-d490756b6fd4")</f>
      </c>
    </row>
    <row r="1160" spans="1:10" customHeight="0">
      <c r="A1160" s="2" t="inlineStr">
        <is>
          <t>Платформы для серверов</t>
        </is>
      </c>
      <c r="B1160" s="2" t="inlineStr">
        <is>
          <t>AIC</t>
        </is>
      </c>
      <c r="C1160" s="2" t="inlineStr">
        <is>
          <t>CB401-AG_XP1-C401AGXX</t>
        </is>
      </c>
      <c r="D1160" s="2" t="inlineStr">
        <is>
          <t>Платформа системного блока AIC CB401-AG_XP1-C401AGXX 4U,6x3,5/2,5" SATA/SAS+ 2x2,5" 15mm SATA/SAS,Auriga 1xSP3 Epyc 7002 up to 200W ,8xDIMM DDR4, 2xPCIe x16 HHHL Gen.4, 1xOCP mezz.x16 Gen.4,2xM.2 22110 ,IPMI AST2500,10xPCIe3.0x16 or 20xPCIex8, 4 x2000W 2+2</t>
        </is>
      </c>
      <c r="E1160" s="2">
        <v>2</v>
      </c>
      <c r="F1160" s="2">
        <v>2</v>
      </c>
      <c r="H1160" s="2">
        <v>6449</v>
      </c>
      <c r="I1160" s="2" t="inlineStr">
        <is>
          <t>$</t>
        </is>
      </c>
      <c r="J1160" s="2">
        <f>HYPERLINK("https://app.astro.lead-studio.pro/product/6b421a29-dbd3-4fd3-8c8c-cdf91b26c216")</f>
      </c>
    </row>
    <row r="1161" spans="1:10" customHeight="0">
      <c r="A1161" s="2" t="inlineStr">
        <is>
          <t>Платформы для серверов</t>
        </is>
      </c>
      <c r="B1161" s="2" t="inlineStr">
        <is>
          <t>AIC</t>
        </is>
      </c>
      <c r="C1161" s="2" t="inlineStr">
        <is>
          <t>EB202-CP_XP1-E202CP12</t>
        </is>
      </c>
      <c r="D1161" s="2" t="inlineStr">
        <is>
          <t>Платформа системного блока AIC EB202-CP_XP1-E202CP12 </t>
        </is>
      </c>
      <c r="E1161" s="2">
        <v>1</v>
      </c>
      <c r="F1161" s="2">
        <v>1</v>
      </c>
      <c r="H1161" s="2">
        <v>3522</v>
      </c>
      <c r="I1161" s="2" t="inlineStr">
        <is>
          <t>$</t>
        </is>
      </c>
      <c r="J1161" s="2">
        <f>HYPERLINK("https://app.astro.lead-studio.pro/product/19dbbddd-a159-4c91-9693-bd07ff423177")</f>
      </c>
    </row>
    <row r="1162" spans="1:10" customHeight="0">
      <c r="A1162" s="2" t="inlineStr">
        <is>
          <t>Платформы для серверов</t>
        </is>
      </c>
      <c r="B1162" s="2" t="inlineStr">
        <is>
          <t>AIC</t>
        </is>
      </c>
      <c r="C1162" s="2" t="inlineStr">
        <is>
          <t>FB201-LX_XP1-F201LXXX</t>
        </is>
      </c>
      <c r="D1162" s="2" t="inlineStr">
        <is>
          <t>Платформа системного блока AIC FB201-LX_XP1-F201LXXX 2U-24 Bay storage server supports 24 x U.2 NVMe drives, 2*dual Broadcom/LSI PEX9765 PCIe switch backplanes</t>
        </is>
      </c>
      <c r="E1162" s="2">
        <v>5</v>
      </c>
      <c r="F1162" s="2">
        <v>5</v>
      </c>
      <c r="H1162" s="2">
        <v>4113</v>
      </c>
      <c r="I1162" s="2" t="inlineStr">
        <is>
          <t>$</t>
        </is>
      </c>
      <c r="J1162" s="2">
        <f>HYPERLINK("https://app.astro.lead-studio.pro/product/c5983588-f45f-441b-b304-2e1f98fc1f27")</f>
      </c>
    </row>
    <row r="1163" spans="1:10" customHeight="0">
      <c r="A1163" s="2" t="inlineStr">
        <is>
          <t>Платформы для серверов</t>
        </is>
      </c>
      <c r="B1163" s="2" t="inlineStr">
        <is>
          <t>Gigabyte</t>
        </is>
      </c>
      <c r="C1163" s="2" t="inlineStr">
        <is>
          <t>G291-2G0 (rev. 100)</t>
        </is>
      </c>
      <c r="D1163" s="2" t="inlineStr">
        <is>
          <t>Платформа системного блока Gigabyte G291-2G0 (rev. 100) 2U 16x Single Slot GPU (Tesla T4 only), Dual Intel® Xeon® Scalable, 24x «RDIMM/LRDIMM DDR4, 2x 10Gb/s BASE-T (i550-AM), Aspeed AST2500, 8x 2.5» NVMe/SATA HS HDD/SSD, 2xPCIe Gen3 x16 LPHL, 2x2200W»</t>
        </is>
      </c>
      <c r="E1163" s="2">
        <v>1</v>
      </c>
      <c r="F1163" s="2">
        <v>1</v>
      </c>
      <c r="H1163" s="2">
        <v>5415</v>
      </c>
      <c r="I1163" s="2" t="inlineStr">
        <is>
          <t>$</t>
        </is>
      </c>
      <c r="J1163" s="2">
        <f>HYPERLINK("https://app.astro.lead-studio.pro/product/b1ad4e84-88cd-42e0-b0da-91ac96ef5515")</f>
      </c>
    </row>
    <row r="1164" spans="1:10" customHeight="0">
      <c r="A1164" s="2" t="inlineStr">
        <is>
          <t>Платформы для серверов</t>
        </is>
      </c>
      <c r="B1164" s="2" t="inlineStr">
        <is>
          <t>HPE</t>
        </is>
      </c>
      <c r="C1164" s="2" t="inlineStr">
        <is>
          <t>P05172-B21 (4309Y)</t>
        </is>
      </c>
      <c r="D1164" s="2" t="inlineStr">
        <is>
          <t>Платформа системного блока с ЦПУ HPE ProLiant DL380 G10+ S-4309Y Rack(2U)/Xeon8C 2.8GHz(12MB)/1x32Gb2Rx4 PC4-3200R/MR416i-a 96W Smart Storage Battery (4Gb/RAID 0/1/10/5/50/6/60)/noHDD(8/24+2up)SFF BC U.3/noDVD/iLOstd/6PFansHP/2x10GbEthOCP3SFP+/EasyRK+CMA/1x800W</t>
        </is>
      </c>
      <c r="E1164" s="2">
        <v>3</v>
      </c>
      <c r="F1164" s="2">
        <v>3</v>
      </c>
      <c r="H1164" s="2">
        <v>6107</v>
      </c>
      <c r="I1164" s="2" t="inlineStr">
        <is>
          <t>$</t>
        </is>
      </c>
      <c r="J1164" s="2">
        <f>HYPERLINK("https://app.astro.lead-studio.pro/product/3c6b269a-2343-4812-9014-74bcb712e5b4")</f>
      </c>
    </row>
    <row r="1165" spans="1:10" customHeight="0">
      <c r="A1165" s="2" t="inlineStr">
        <is>
          <t>Платформы для серверов</t>
        </is>
      </c>
      <c r="B1165" s="2" t="inlineStr">
        <is>
          <t>HPE</t>
        </is>
      </c>
      <c r="C1165" s="2" t="inlineStr">
        <is>
          <t>P05172-B21 (4314)</t>
        </is>
      </c>
      <c r="D1165" s="2" t="inlineStr">
        <is>
          <t>Платформа системного блока с ЦПУ HPE ProLiant DL380 G10+ S-4314 Rack(2U)/Xeon16C 2.4GHz(24MB)/1x32Gb2Rx4 PC4-3200R/MR416i-a 96W Smart Storage Battery (4Gb/RAID 0/1/ 10/5/50/6/60)/noHDD(8/24+2up)SFF BC U.3/noDVD/iLOstd/6PFansHP/2x10GbEthOCP3SFP+/EasyRK+CMA/1x800W</t>
        </is>
      </c>
      <c r="E1165" s="2">
        <v>6</v>
      </c>
      <c r="F1165" s="2">
        <v>6</v>
      </c>
      <c r="H1165" s="2">
        <v>6670</v>
      </c>
      <c r="I1165" s="2" t="inlineStr">
        <is>
          <t>$</t>
        </is>
      </c>
      <c r="J1165" s="2">
        <f>HYPERLINK("https://app.astro.lead-studio.pro/product/ac798a1a-ca33-4ae5-b98a-b013b7d3004b")</f>
      </c>
    </row>
    <row r="1166" spans="1:10" customHeight="0">
      <c r="A1166" s="2" t="inlineStr">
        <is>
          <t>Платформы для серверов</t>
        </is>
      </c>
      <c r="B1166" s="2" t="inlineStr">
        <is>
          <t>HPE</t>
        </is>
      </c>
      <c r="C1166" s="2" t="inlineStr">
        <is>
          <t>P44109-B21</t>
        </is>
      </c>
      <c r="D1166" s="2" t="inlineStr">
        <is>
          <t>Платформа системного блока с ЦПУ HPE ProLiant DL20 G10+ E-2314 Rack(1U)/Xeon4C 2.8GHz(8Mb)/1x16Gb1Rx8 PC4-3200E/IntelVROC(RAID 0/1/5/10) /noHDD(2)LFF/noDVD/iLOstd/3FansNHP/2x1GbEthEmb/ShortFricRK/290W(NHP)</t>
        </is>
      </c>
      <c r="E1166" s="2">
        <v>5</v>
      </c>
      <c r="F1166" s="2">
        <v>5</v>
      </c>
      <c r="H1166" s="2">
        <v>2096</v>
      </c>
      <c r="I1166" s="2" t="inlineStr">
        <is>
          <t>$</t>
        </is>
      </c>
      <c r="J1166" s="2">
        <f>HYPERLINK("https://app.astro.lead-studio.pro/product/d33fbd6c-ca8c-40cd-843f-b44388e800da")</f>
      </c>
    </row>
    <row r="1167" spans="1:10" customHeight="0">
      <c r="A1167" s="2" t="inlineStr">
        <is>
          <t>Платформы для серверов</t>
        </is>
      </c>
      <c r="B1167" s="2" t="inlineStr">
        <is>
          <t>HPE</t>
        </is>
      </c>
      <c r="C1167" s="2" t="inlineStr">
        <is>
          <t>P44111-B21 (E-2314)</t>
        </is>
      </c>
      <c r="D1167" s="2" t="inlineStr">
        <is>
          <t>Платформа системного блока с ЦПУ HPE ProLiant DL20 G10+ E-2314 Rack(1U)/Xeon4C 2.8GHz(8Mb)/1x16Gb1Rx8 PC4-3200E/IntelVROC(RAID 0/1/5/10) /noHDD(4)SFF/noDVD/iLOstd/3FansNHP/2x1GbEthEmb/ShortFricRK/1x500W</t>
        </is>
      </c>
      <c r="E1167" s="2">
        <v>5</v>
      </c>
      <c r="F1167" s="2">
        <v>5</v>
      </c>
      <c r="H1167" s="2">
        <v>2340</v>
      </c>
      <c r="I1167" s="2" t="inlineStr">
        <is>
          <t>$</t>
        </is>
      </c>
      <c r="J1167" s="2">
        <f>HYPERLINK("https://app.astro.lead-studio.pro/product/2a3740d6-c31e-4637-88dd-52ad7674c273")</f>
      </c>
    </row>
    <row r="1168" spans="1:10" customHeight="0">
      <c r="A1168" s="2" t="inlineStr">
        <is>
          <t>Платформы для серверов</t>
        </is>
      </c>
      <c r="B1168" s="2" t="inlineStr">
        <is>
          <t>HPE</t>
        </is>
      </c>
      <c r="C1168" s="2" t="inlineStr">
        <is>
          <t>P44111-B21 (E-2336)</t>
        </is>
      </c>
      <c r="D1168" s="2" t="inlineStr">
        <is>
          <t>Платформа системного блока с ЦПУ HPE ProLiant DL20 G10+ E-2336 Rack(1U)/Xeon6C 2.9GHz(12Mb)/1x16Gb1Rx8 PC4-3200E/IntelVROC(RAID 0/1/5/10) /noHDD(4)SFF/noDVD/iLOstd/3FansNHP/2x1GbEthEmb/ShortFricRK/1x500W</t>
        </is>
      </c>
      <c r="E1168" s="2">
        <v>6</v>
      </c>
      <c r="F1168" s="2">
        <v>6</v>
      </c>
      <c r="H1168" s="2">
        <v>2880</v>
      </c>
      <c r="I1168" s="2" t="inlineStr">
        <is>
          <t>$</t>
        </is>
      </c>
      <c r="J1168" s="2">
        <f>HYPERLINK("https://app.astro.lead-studio.pro/product/0acab228-8a40-461f-8ea0-089df51e100f")</f>
      </c>
    </row>
    <row r="1169" spans="1:10" customHeight="0">
      <c r="A1169" s="2" t="inlineStr">
        <is>
          <t>Платформы для серверов</t>
        </is>
      </c>
      <c r="B1169" s="2" t="inlineStr">
        <is>
          <t>SuperMicro</t>
        </is>
      </c>
      <c r="C1169" s="2" t="inlineStr">
        <is>
          <t>PIO-2029U-TR4-FT019</t>
        </is>
      </c>
      <c r="D1169" s="2" t="inlineStr">
        <is>
          <t>Платформа системного блока SuperMicro SYS-2029U-TR4-FT019 2U, 2xLGA3647 (up to 205W), iC621 (X121PU), 24xDDR4, up to 24x2.5 SAS/SATA, 4x 1000GBase-T (i350), 1x PCIE x16, 5x PCIE x8 LP, 1x PCIE x8 LP, 1x PCIE x8 internal LP, 2x 800W</t>
        </is>
      </c>
      <c r="E1169" s="2">
        <v>4</v>
      </c>
      <c r="F1169" s="2">
        <v>4</v>
      </c>
      <c r="H1169" s="2">
        <v>4063</v>
      </c>
      <c r="I1169" s="2" t="inlineStr">
        <is>
          <t>$</t>
        </is>
      </c>
      <c r="J1169" s="2">
        <f>HYPERLINK("https://app.astro.lead-studio.pro/product/be3fb7bd-3d17-4f89-9884-a32bcec76b09")</f>
      </c>
    </row>
    <row r="1170" spans="1:10" customHeight="0">
      <c r="A1170" s="2" t="inlineStr">
        <is>
          <t>Платформы для серверов</t>
        </is>
      </c>
      <c r="B1170" s="2" t="inlineStr">
        <is>
          <t>SuperMicro</t>
        </is>
      </c>
      <c r="C1170" s="2" t="inlineStr">
        <is>
          <t>PIO-6029U-E1CR4-1-FT019</t>
        </is>
      </c>
      <c r="D1170" s="2" t="inlineStr">
        <is>
          <t>Платформа системного блока SuperMicro SYS-6029U-E1CR4 Power Supply: Intel H79286-011 1300W Chassis: CSE-LA29UTS-R0NP-FT019</t>
        </is>
      </c>
      <c r="E1170" s="2">
        <v>4</v>
      </c>
      <c r="F1170" s="2">
        <v>4</v>
      </c>
      <c r="H1170" s="2">
        <v>4327</v>
      </c>
      <c r="I1170" s="2" t="inlineStr">
        <is>
          <t>$</t>
        </is>
      </c>
      <c r="J1170" s="2">
        <f>HYPERLINK("https://app.astro.lead-studio.pro/product/86c1da6b-9821-4197-b7ae-ba77e54d7f6f")</f>
      </c>
    </row>
    <row r="1171" spans="1:10" customHeight="0">
      <c r="A1171" s="2" t="inlineStr">
        <is>
          <t>Платформы для серверов</t>
        </is>
      </c>
      <c r="B1171" s="2" t="inlineStr">
        <is>
          <t>SuperMicro</t>
        </is>
      </c>
      <c r="C1171" s="2" t="inlineStr">
        <is>
          <t>PIO-6029U-E1CR4-1-FT019||bp</t>
        </is>
      </c>
      <c r="D1171" s="2" t="inlineStr">
        <is>
          <t>Платформа системного блока SuperMicro BadPack SYS-6029U-E1CR4 2U, 2xLGA3647, 24xDDR4, 12x3.5/2.5 Exp., iC621, 4x1GbE, IPMI, 2x1300W, 1xPCI 2U, 2xLGA3647, 24xDDR4, 12x3.5/2.5 Exp., iC621, 4x1GbE, IPMI, 2x1300W, 1xPCIEx16 FH, 5xPCIEx8 FH, 1xPCIEx8 LP, 1xPCIEx8 Int., (X11DPU)</t>
        </is>
      </c>
      <c r="E1171" s="2">
        <v>1</v>
      </c>
      <c r="F1171" s="2">
        <v>1</v>
      </c>
      <c r="H1171" s="2">
        <v>4362</v>
      </c>
      <c r="I1171" s="2" t="inlineStr">
        <is>
          <t>$</t>
        </is>
      </c>
      <c r="J1171" s="2">
        <f>HYPERLINK("https://app.astro.lead-studio.pro/product/cbd24143-790b-44ab-83ac-4d107bedc88e")</f>
      </c>
    </row>
    <row r="1172" spans="1:10" customHeight="0">
      <c r="A1172" s="2" t="inlineStr">
        <is>
          <t>Платформы для серверов</t>
        </is>
      </c>
      <c r="B1172" s="2" t="inlineStr">
        <is>
          <t>AIC</t>
        </is>
      </c>
      <c r="C1172" s="2" t="inlineStr">
        <is>
          <t>SB402-TU_XP1-S402TU02</t>
        </is>
      </c>
      <c r="D1172" s="2" t="inlineStr">
        <is>
          <t>Платформа системного блока AIC SB402-TU_XP1-S402TU02 4U 24 bay, 12G (35X) EOB + 8 bay Tri-mode + 4 bay SAS/SATA, CRPS 1200W 1+1, 2x 7mm hot-swap SATA OS, Tucana motherboard, Intel Lewisburg, DDR4 RDIMM x16, Intel PCH C621A, 1 x GbE dedicate IPMI, 3x PCIe x16 Gen.4, 2x PCIe x8 Gen.4, 1x OCP 3.0 x16 Gen.4, 2x </t>
        </is>
      </c>
      <c r="E1172" s="2">
        <v>1</v>
      </c>
      <c r="F1172" s="2">
        <v>1</v>
      </c>
      <c r="H1172" s="2">
        <v>3749</v>
      </c>
      <c r="I1172" s="2" t="inlineStr">
        <is>
          <t>$</t>
        </is>
      </c>
      <c r="J1172" s="2">
        <f>HYPERLINK("https://app.astro.lead-studio.pro/product/9b97a8dd-fa93-40a8-9e96-3270fce06f81")</f>
      </c>
    </row>
    <row r="1173" spans="1:10" customHeight="0">
      <c r="A1173" s="2" t="inlineStr">
        <is>
          <t>Платформы для серверов</t>
        </is>
      </c>
      <c r="B1173" s="2" t="inlineStr">
        <is>
          <t>Gooxi</t>
        </is>
      </c>
      <c r="C1173" s="2" t="inlineStr">
        <is>
          <t>SL101-D04R-G3</t>
        </is>
      </c>
      <c r="D1173" s="2" t="inlineStr">
        <is>
          <t>Платформа системного блока Gooxi Intel dual socket 32 DIMM, 1U 4-bay - w/2* 550W CRPS modules + 10GbE dual SFP+ ports (Intel 82599ES)</t>
        </is>
      </c>
      <c r="E1173" s="2">
        <v>5</v>
      </c>
      <c r="F1173" s="2">
        <v>5</v>
      </c>
      <c r="H1173" s="2">
        <v>2492</v>
      </c>
      <c r="I1173" s="2" t="inlineStr">
        <is>
          <t>$</t>
        </is>
      </c>
      <c r="J1173" s="2">
        <f>HYPERLINK("https://app.astro.lead-studio.pro/product/7f5ccb42-242c-47a7-a34b-a5b4ef340658")</f>
      </c>
    </row>
    <row r="1174" spans="1:10" customHeight="0">
      <c r="A1174" s="2" t="inlineStr">
        <is>
          <t>Платформы для серверов</t>
        </is>
      </c>
      <c r="B1174" s="2" t="inlineStr">
        <is>
          <t>Gooxi</t>
        </is>
      </c>
      <c r="C1174" s="2" t="inlineStr">
        <is>
          <t>SL201-D25RE-G3||bp</t>
        </is>
      </c>
      <c r="D1174" s="2" t="inlineStr">
        <is>
          <t>Платформа системного блока Gooxi Bad Pack Intel dual socket 32 DIMM, extended 25-bay - w/ 2* 800W CRPS modules + 10GbE dual SFP+ ports (Intel 82599ES)</t>
        </is>
      </c>
      <c r="E1174" s="2">
        <v>1</v>
      </c>
      <c r="F1174" s="2">
        <v>1</v>
      </c>
      <c r="H1174" s="2">
        <v>3032</v>
      </c>
      <c r="I1174" s="2" t="inlineStr">
        <is>
          <t>$</t>
        </is>
      </c>
      <c r="J1174" s="2">
        <f>HYPERLINK("https://app.astro.lead-studio.pro/product/123ffdac-cf12-4b18-935e-1e723b99f7f6")</f>
      </c>
    </row>
    <row r="1175" spans="1:10" customHeight="0">
      <c r="A1175" s="2" t="inlineStr">
        <is>
          <t>Платформы для серверов</t>
        </is>
      </c>
      <c r="B1175" s="2" t="inlineStr">
        <is>
          <t>Gooxi</t>
        </is>
      </c>
      <c r="C1175" s="2" t="inlineStr">
        <is>
          <t>SR101-D04R</t>
        </is>
      </c>
      <c r="D1175" s="2" t="inlineStr">
        <is>
          <t>Платформа системного блока Gooxi SR101-D04R AMD 1st/2nd/3rd Gen 1U Direct-attached Backplane 4_2.5/3.5 SAS/SATA Hard Drive Bay Server Barebone, 550W CRPS, w/o rail kit</t>
        </is>
      </c>
      <c r="E1175" s="2">
        <v>4</v>
      </c>
      <c r="F1175" s="2">
        <v>4</v>
      </c>
      <c r="H1175" s="2">
        <v>2180</v>
      </c>
      <c r="I1175" s="2" t="inlineStr">
        <is>
          <t>$</t>
        </is>
      </c>
      <c r="J1175" s="2">
        <f>HYPERLINK("https://app.astro.lead-studio.pro/product/c25e2373-a8f4-44e5-9981-06a5cc3a6892")</f>
      </c>
    </row>
    <row r="1176" spans="1:10" customHeight="0">
      <c r="A1176" s="2" t="inlineStr">
        <is>
          <t>Платформы для серверов</t>
        </is>
      </c>
      <c r="B1176" s="2" t="inlineStr">
        <is>
          <t>Gooxi</t>
        </is>
      </c>
      <c r="C1176" s="2" t="inlineStr">
        <is>
          <t>SR401-D24RE-G2</t>
        </is>
      </c>
      <c r="D1176" s="2" t="inlineStr">
        <is>
          <t>Платформа системного блока Gooxi SR401-D24RE-G2 AMD Genoa 4U Expander Backplane 24_2.5/3.5 SAS/SATA Hard Drive Bay Server Barebone, 800W CRPS, w/o rail kit</t>
        </is>
      </c>
      <c r="E1176" s="2">
        <v>10</v>
      </c>
      <c r="F1176" s="2">
        <v>10</v>
      </c>
      <c r="H1176" s="2">
        <v>4292</v>
      </c>
      <c r="I1176" s="2" t="inlineStr">
        <is>
          <t>$</t>
        </is>
      </c>
      <c r="J1176" s="2">
        <f>HYPERLINK("https://app.astro.lead-studio.pro/product/a1c73dea-be8c-4770-9149-04f812677ed7")</f>
      </c>
    </row>
    <row r="1177" spans="1:10" customHeight="0">
      <c r="A1177" s="2" t="inlineStr">
        <is>
          <t>Платформы для серверов</t>
        </is>
      </c>
      <c r="B1177" s="2" t="inlineStr">
        <is>
          <t>Gooxi</t>
        </is>
      </c>
      <c r="C1177" s="2" t="inlineStr">
        <is>
          <t>SR401-D36RE-G2</t>
        </is>
      </c>
      <c r="D1177" s="2" t="inlineStr">
        <is>
          <t>Платформа системного блока Gooxi SR401-D36RE-G2 AMD Genoa 4U Expander Backplane 36_2.5/3.5 SAS/SATA Hard Drive Bay Server Barebone, 800W CRPS, w/o rail kit</t>
        </is>
      </c>
      <c r="E1177" s="2">
        <v>5</v>
      </c>
      <c r="F1177" s="2">
        <v>5</v>
      </c>
      <c r="H1177" s="2">
        <v>4583</v>
      </c>
      <c r="I1177" s="2" t="inlineStr">
        <is>
          <t>$</t>
        </is>
      </c>
      <c r="J1177" s="2">
        <f>HYPERLINK("https://app.astro.lead-studio.pro/product/4bf3752d-c051-4cc3-b7a0-8b6a73a1ace6")</f>
      </c>
    </row>
    <row r="1178" spans="1:10" customHeight="0">
      <c r="A1178" s="2" t="inlineStr">
        <is>
          <t>Платформы для серверов</t>
        </is>
      </c>
      <c r="B1178" s="2" t="inlineStr">
        <is>
          <t>SuperMicro</t>
        </is>
      </c>
      <c r="C1178" s="2" t="inlineStr">
        <is>
          <t>SSG-6049SP-DE2CR90</t>
        </is>
      </c>
      <c r="D1178" s="2" t="inlineStr">
        <is>
          <t>Сервер SuperMicro SSG-6049SP-DE2CR90 *1, Intel Xeon Silver 4210 *4, 16GB DDR4 RECC 2933MHz *4, Intel D3-S4510 240GB SATA *2, AOC-S3008L-L8i*2, CBL-SAST-0699*2 (432035)</t>
        </is>
      </c>
      <c r="E1178" s="2">
        <v>4</v>
      </c>
      <c r="F1178" s="2">
        <v>4</v>
      </c>
      <c r="H1178" s="2">
        <v>22948</v>
      </c>
      <c r="I1178" s="2" t="inlineStr">
        <is>
          <t>$</t>
        </is>
      </c>
      <c r="J1178" s="2">
        <f>HYPERLINK("https://app.astro.lead-studio.pro/product/07165de0-d602-40db-861e-b4187d40c289")</f>
      </c>
    </row>
    <row r="1179" spans="1:10" customHeight="0">
      <c r="A1179" s="2" t="inlineStr">
        <is>
          <t>Платформы для серверов</t>
        </is>
      </c>
      <c r="B1179" s="2" t="inlineStr">
        <is>
          <t>SuperMicro</t>
        </is>
      </c>
      <c r="C1179" s="2" t="inlineStr">
        <is>
          <t>SYS-220GP-TNR</t>
        </is>
      </c>
      <c r="D1179" s="2" t="inlineStr">
        <is>
          <t>Платформа системного блока SuperMicro SYS-220GP-TNR Dual Socket P+ (LGA-4189) 3rd Gen Intel® Xeon® Scalable Processors,Intel® C621A «Chipset,16 DIMM Slots</t>
        </is>
      </c>
      <c r="E1179" s="2">
        <v>3</v>
      </c>
      <c r="F1179" s="2">
        <v>3</v>
      </c>
      <c r="H1179" s="2">
        <v>6142</v>
      </c>
      <c r="I1179" s="2" t="inlineStr">
        <is>
          <t>$</t>
        </is>
      </c>
      <c r="J1179" s="2">
        <f>HYPERLINK("https://app.astro.lead-studio.pro/product/962bacbe-fa5e-4c4f-a855-59f5f529ccf9")</f>
      </c>
    </row>
    <row r="1180" spans="1:10" customHeight="0">
      <c r="A1180" s="2" t="inlineStr">
        <is>
          <t>Платформы для серверов</t>
        </is>
      </c>
      <c r="B1180" s="2" t="inlineStr">
        <is>
          <t>SuperMicro</t>
        </is>
      </c>
      <c r="C1180" s="2" t="inlineStr">
        <is>
          <t>SYS-220U-TNR_</t>
        </is>
      </c>
      <c r="D1180" s="2" t="inlineStr">
        <is>
          <t>Сервер SuperMicro SYS-220U-TNR CPU: Intel 2x 4310 RAM: SK 16x 32G SSD: Intel 1x 3.84TB</t>
        </is>
      </c>
      <c r="E1180" s="2">
        <v>4</v>
      </c>
      <c r="F1180" s="2">
        <v>4</v>
      </c>
      <c r="H1180" s="2">
        <v>11132</v>
      </c>
      <c r="I1180" s="2" t="inlineStr">
        <is>
          <t>$</t>
        </is>
      </c>
      <c r="J1180" s="2">
        <f>HYPERLINK("https://app.astro.lead-studio.pro/product/99893135-b3d1-4a2a-9f47-5ccc6854dad0")</f>
      </c>
    </row>
    <row r="1181" spans="1:10" customHeight="0">
      <c r="A1181" s="2" t="inlineStr">
        <is>
          <t>Платформы для серверов</t>
        </is>
      </c>
      <c r="B1181" s="2" t="inlineStr">
        <is>
          <t>SuperMicro</t>
        </is>
      </c>
      <c r="C1181" s="2" t="inlineStr">
        <is>
          <t>SYS-421GE-TNRT</t>
        </is>
      </c>
      <c r="D1181" s="2" t="inlineStr">
        <is>
          <t>Платформа системного блока SuperMicro SYS-421GE-TNRT</t>
        </is>
      </c>
      <c r="E1181" s="2">
        <v>7</v>
      </c>
      <c r="F1181" s="2">
        <v>7</v>
      </c>
      <c r="H1181" s="2">
        <v>13967</v>
      </c>
      <c r="I1181" s="2" t="inlineStr">
        <is>
          <t>$</t>
        </is>
      </c>
      <c r="J1181" s="2">
        <f>HYPERLINK("https://app.astro.lead-studio.pro/product/39f3f907-6a1f-4ad6-af21-bb213e236614")</f>
      </c>
    </row>
    <row r="1182" spans="1:10" customHeight="0">
      <c r="A1182" s="2" t="inlineStr">
        <is>
          <t>Платформы для серверов</t>
        </is>
      </c>
      <c r="B1182" s="2" t="inlineStr">
        <is>
          <t>SuperMicro</t>
        </is>
      </c>
      <c r="C1182" s="2" t="inlineStr">
        <is>
          <t>SYS-6029TP-HTR</t>
        </is>
      </c>
      <c r="D1182" s="2" t="inlineStr">
        <is>
          <t>Платформа системного блока SuperMicro SYS-6029TP-HTR 2U, 4 node: 2xLGA3647, 16xDDR4, 3x3.5» bays, SATA, SIOM, IPMI, 2x2200W</t>
        </is>
      </c>
      <c r="E1182" s="2">
        <v>4</v>
      </c>
      <c r="F1182" s="2">
        <v>4</v>
      </c>
      <c r="H1182" s="2">
        <v>5123</v>
      </c>
      <c r="I1182" s="2" t="inlineStr">
        <is>
          <t>$</t>
        </is>
      </c>
      <c r="J1182" s="2">
        <f>HYPERLINK("https://app.astro.lead-studio.pro/product/7ee51ac7-9257-45e9-a6da-02fca3c28223")</f>
      </c>
    </row>
    <row r="1183" spans="1:10" customHeight="0">
      <c r="A1183" s="2" t="inlineStr">
        <is>
          <t>Платформы для серверов</t>
        </is>
      </c>
      <c r="B1183" s="2" t="inlineStr">
        <is>
          <t>SuperMicro</t>
        </is>
      </c>
      <c r="C1183" s="2" t="inlineStr">
        <is>
          <t>SYS-6029TR-DTR</t>
        </is>
      </c>
      <c r="D1183" s="2" t="inlineStr">
        <is>
          <t>Платформа системного блока SuperMicro SYS-6029TR-DTR 2*node 2*LGA3647, C621, 8*DDR4(2933, 6*3.5" HS SATA3, 2*PCIE, 2*Glan, IPMI lan, 2*USB 3.0, VGA, COM 2*1200W</t>
        </is>
      </c>
      <c r="E1183" s="2">
        <v>4</v>
      </c>
      <c r="F1183" s="2">
        <v>4</v>
      </c>
      <c r="H1183" s="2">
        <v>4284</v>
      </c>
      <c r="I1183" s="2" t="inlineStr">
        <is>
          <t>$</t>
        </is>
      </c>
      <c r="J1183" s="2">
        <f>HYPERLINK("https://app.astro.lead-studio.pro/product/fb97813a-7957-4012-91bc-2fabc711abb9")</f>
      </c>
    </row>
    <row r="1184" spans="1:10" customHeight="0">
      <c r="A1184" s="2" t="inlineStr">
        <is>
          <t>Платформы для серверов</t>
        </is>
      </c>
      <c r="B1184" s="2" t="inlineStr">
        <is>
          <t>SuperMicro</t>
        </is>
      </c>
      <c r="C1184" s="2" t="inlineStr">
        <is>
          <t>SYS-730A-I</t>
        </is>
      </c>
      <c r="D1184" s="2" t="inlineStr">
        <is>
          <t>Платформа системного блока SuperMicro SYS-730A-I</t>
        </is>
      </c>
      <c r="E1184" s="2">
        <v>1</v>
      </c>
      <c r="F1184" s="2">
        <v>1</v>
      </c>
      <c r="H1184" s="2">
        <v>2605</v>
      </c>
      <c r="I1184" s="2" t="inlineStr">
        <is>
          <t>$</t>
        </is>
      </c>
      <c r="J1184" s="2">
        <f>HYPERLINK("https://app.astro.lead-studio.pro/product/3f6a6659-5460-4e00-9219-d7d926005549")</f>
      </c>
    </row>
    <row r="1185" spans="1:10" customHeight="0">
      <c r="A1185" s="2" t="inlineStr">
        <is>
          <t>Платформы для серверов</t>
        </is>
      </c>
      <c r="B1185" s="2" t="inlineStr">
        <is>
          <t>SuperMicro</t>
        </is>
      </c>
      <c r="C1185" s="2" t="inlineStr">
        <is>
          <t>SYS-740GP-TNRT_</t>
        </is>
      </c>
      <c r="D1185" s="2" t="inlineStr">
        <is>
          <t>Сервер SuperMicro SYS-740GP-TNRT 4GPU SPEC : 2x Intel 4310,2 x SK 32G 3200MHz,1x Micron 480G SSD (424016)</t>
        </is>
      </c>
      <c r="E1185" s="2">
        <v>2</v>
      </c>
      <c r="F1185" s="2">
        <v>2</v>
      </c>
      <c r="H1185" s="2">
        <v>6400</v>
      </c>
      <c r="I1185" s="2" t="inlineStr">
        <is>
          <t>$</t>
        </is>
      </c>
      <c r="J1185" s="2">
        <f>HYPERLINK("https://app.astro.lead-studio.pro/product/1b16b72f-ef7a-429f-ad3d-6917486436d9")</f>
      </c>
    </row>
    <row r="1186" spans="1:10" customHeight="0">
      <c r="A1186" s="2" t="inlineStr">
        <is>
          <t>Платформы для серверов</t>
        </is>
      </c>
      <c r="B1186" s="2" t="inlineStr">
        <is>
          <t>ZKKR</t>
        </is>
      </c>
      <c r="C1186" s="2" t="inlineStr">
        <is>
          <t>ZKKR CR212-780 (AMD)</t>
        </is>
      </c>
      <c r="D1186" s="2" t="inlineStr">
        <is>
          <t>Платформа системного блока ZKKR «CR212-780 (AMD) 2U Dual AMD EPYC™ 7003/7002 Series Processors Rome/Milan platform up to 280W</t>
        </is>
      </c>
      <c r="E1186" s="2">
        <v>4</v>
      </c>
      <c r="F1186" s="2">
        <v>4</v>
      </c>
      <c r="H1186" s="2">
        <v>4162</v>
      </c>
      <c r="I1186" s="2" t="inlineStr">
        <is>
          <t>$</t>
        </is>
      </c>
      <c r="J1186" s="2">
        <f>HYPERLINK("https://app.astro.lead-studio.pro/product/8fc8e4b2-1bc0-494f-ac31-ce96e507ddaf")</f>
      </c>
    </row>
    <row r="1187" spans="1:10" customHeight="0">
      <c r="A1187" s="2" t="inlineStr">
        <is>
          <t>Платформы для серверов</t>
        </is>
      </c>
      <c r="B1187" s="2" t="inlineStr">
        <is>
          <t>ZKKR</t>
        </is>
      </c>
      <c r="C1187" s="2" t="inlineStr">
        <is>
          <t>ZKKR CR212-780 (INTEL)</t>
        </is>
      </c>
      <c r="D1187" s="2" t="inlineStr">
        <is>
          <t>Платформа системного блока ZKKR «CR212-780 (INTEL) 2U Dual Intel Xeon 3rd Gen Scalable Processors up to 270W</t>
        </is>
      </c>
      <c r="E1187" s="2">
        <v>4</v>
      </c>
      <c r="F1187" s="2">
        <v>4</v>
      </c>
      <c r="H1187" s="2">
        <v>4479</v>
      </c>
      <c r="I1187" s="2" t="inlineStr">
        <is>
          <t>$</t>
        </is>
      </c>
      <c r="J1187" s="2">
        <f>HYPERLINK("https://app.astro.lead-studio.pro/product/bdae2469-c45d-4891-8b62-744ffe4c6903")</f>
      </c>
    </row>
    <row r="1188" spans="1:10" customHeight="0">
      <c r="A1188" s="2" t="inlineStr">
        <is>
          <t>Платформы для серверов</t>
        </is>
      </c>
      <c r="B1188" s="2" t="inlineStr">
        <is>
          <t>ZKKR</t>
        </is>
      </c>
      <c r="C1188" s="2" t="inlineStr">
        <is>
          <t>ZKKR CR2212-788 (INTEL)</t>
        </is>
      </c>
      <c r="D1188" s="2" t="inlineStr">
        <is>
          <t>Платформа системного блока ZKKR «CR2212-788 (INTEL) 2U Dual 2*1st&amp;2nd Gen Intel® Xeon® Scalable processors up to 205W</t>
        </is>
      </c>
      <c r="E1188" s="2">
        <v>4</v>
      </c>
      <c r="F1188" s="2">
        <v>4</v>
      </c>
      <c r="H1188" s="2">
        <v>3165</v>
      </c>
      <c r="I1188" s="2" t="inlineStr">
        <is>
          <t>$</t>
        </is>
      </c>
      <c r="J1188" s="2">
        <f>HYPERLINK("https://app.astro.lead-studio.pro/product/392116b0-9cdf-4f06-8a4b-fae38524ad93")</f>
      </c>
    </row>
    <row r="1189" spans="1:10" customHeight="0">
      <c r="A1189" s="2" t="inlineStr">
        <is>
          <t>Платформы для серверов</t>
        </is>
      </c>
      <c r="B1189" s="2" t="inlineStr">
        <is>
          <t>ZKKR</t>
        </is>
      </c>
      <c r="C1189" s="2" t="inlineStr">
        <is>
          <t>ZKKR CR224-850-NV ( AMD)</t>
        </is>
      </c>
      <c r="D1189" s="2" t="inlineStr">
        <is>
          <t>Платформа системного блока ZKKR «CR224-850-NV( AMD) 2U Dual AMD processor, 7002 CPU(Rome Series), 7001 series (Naples Series) up to»</t>
        </is>
      </c>
      <c r="E1189" s="2">
        <v>4</v>
      </c>
      <c r="F1189" s="2">
        <v>4</v>
      </c>
      <c r="H1189" s="2">
        <v>3778</v>
      </c>
      <c r="I1189" s="2" t="inlineStr">
        <is>
          <t>$</t>
        </is>
      </c>
      <c r="J1189" s="2">
        <f>HYPERLINK("https://app.astro.lead-studio.pro/product/cdf760e4-0472-4250-bc0d-1a7aa332ae65")</f>
      </c>
    </row>
    <row r="1190" spans="1:10" customHeight="0">
      <c r="A1190" s="2" t="inlineStr">
        <is>
          <t>Процессоры (CPU) для серверов</t>
        </is>
      </c>
      <c r="B1190" s="2" t="inlineStr">
        <is>
          <t>Montage</t>
        </is>
      </c>
      <c r="C1190" s="2" t="inlineStr">
        <is>
          <t>M88JTMC4215R</t>
        </is>
      </c>
      <c r="D1190" s="2" t="inlineStr">
        <is>
          <t>Центральный Процессор Montage C4215R 8 Cores, 16 Threads, 3.2/4.0GHz, 11M, DDR4-400, 2S, 130W OEM</t>
        </is>
      </c>
      <c r="E1190" s="2">
        <v>1</v>
      </c>
      <c r="F1190" s="2">
        <v>1</v>
      </c>
      <c r="H1190" s="2">
        <v>704</v>
      </c>
      <c r="I1190" s="2" t="inlineStr">
        <is>
          <t>$</t>
        </is>
      </c>
      <c r="J1190" s="2">
        <f>HYPERLINK("https://app.astro.lead-studio.pro/product/bfdac47f-8b84-4cbe-8cd3-b5bd0747e459")</f>
      </c>
    </row>
    <row r="1191" spans="1:10" customHeight="0">
      <c r="A1191" s="2" t="inlineStr">
        <is>
          <t>Процессоры (CPU) для серверов</t>
        </is>
      </c>
      <c r="B1191" s="2" t="inlineStr">
        <is>
          <t>Montage</t>
        </is>
      </c>
      <c r="C1191" s="2" t="inlineStr">
        <is>
          <t>M88JTMC4314</t>
        </is>
      </c>
      <c r="D1191" s="2" t="inlineStr">
        <is>
          <t>Центральный Процессор Montage C4314 24 Cores, 48 Threads, 2.4/3.4GHz, 24M, DDR4-2666, 2S, 135W OEM</t>
        </is>
      </c>
      <c r="E1191" s="2">
        <v>1</v>
      </c>
      <c r="F1191" s="2">
        <v>1</v>
      </c>
      <c r="H1191" s="2">
        <v>595</v>
      </c>
      <c r="I1191" s="2" t="inlineStr">
        <is>
          <t>$</t>
        </is>
      </c>
      <c r="J1191" s="2">
        <f>HYPERLINK("https://app.astro.lead-studio.pro/product/d8e56f1e-29ae-4b45-8006-5675f02849a7")</f>
      </c>
    </row>
    <row r="1192" spans="1:10" customHeight="0">
      <c r="A1192" s="2" t="inlineStr">
        <is>
          <t>Процессоры (CPU) для серверов</t>
        </is>
      </c>
      <c r="B1192" s="2" t="inlineStr">
        <is>
          <t>Montage</t>
        </is>
      </c>
      <c r="C1192" s="2" t="inlineStr">
        <is>
          <t>M88JTMC5220R</t>
        </is>
      </c>
      <c r="D1192" s="2" t="inlineStr">
        <is>
          <t>Центральный Процессор Montage C5220R 24 Cores, 48 Threads, 2.2/4.0GHz, 35.75M, DDR4-2666, 2S, 150W OEM</t>
        </is>
      </c>
      <c r="E1192" s="2">
        <v>1</v>
      </c>
      <c r="F1192" s="2">
        <v>1</v>
      </c>
      <c r="H1192" s="2">
        <v>1155</v>
      </c>
      <c r="I1192" s="2" t="inlineStr">
        <is>
          <t>$</t>
        </is>
      </c>
      <c r="J1192" s="2">
        <f>HYPERLINK("https://app.astro.lead-studio.pro/product/beb6d87d-f990-4cce-845e-55c8520fbc11")</f>
      </c>
    </row>
    <row r="1193" spans="1:10" customHeight="0">
      <c r="A1193" s="2" t="inlineStr">
        <is>
          <t>Процессоры (CPU) для серверов</t>
        </is>
      </c>
      <c r="B1193" s="2" t="inlineStr">
        <is>
          <t>Montage</t>
        </is>
      </c>
      <c r="C1193" s="2" t="inlineStr">
        <is>
          <t>M88JTMC6230R</t>
        </is>
      </c>
      <c r="D1193" s="2" t="inlineStr">
        <is>
          <t>Центральный Процессор Montage C6230R 26 Cores, 52 Threads, 2.1/4.0GHz, 35.75M, DDR4-2933, 2S, 150W OEM</t>
        </is>
      </c>
      <c r="E1193" s="2">
        <v>2</v>
      </c>
      <c r="F1193" s="2">
        <v>2</v>
      </c>
      <c r="H1193" s="2">
        <v>837</v>
      </c>
      <c r="I1193" s="2" t="inlineStr">
        <is>
          <t>$</t>
        </is>
      </c>
      <c r="J1193" s="2">
        <f>HYPERLINK("https://app.astro.lead-studio.pro/product/f9ff1d3c-7867-4f33-b16b-25ae2f74151e")</f>
      </c>
    </row>
    <row r="1194" spans="1:10" customHeight="0">
      <c r="A1194" s="2" t="inlineStr">
        <is>
          <t>Процессоры (CPU) для серверов</t>
        </is>
      </c>
      <c r="B1194" s="2" t="inlineStr">
        <is>
          <t>Montage</t>
        </is>
      </c>
      <c r="C1194" s="2" t="inlineStr">
        <is>
          <t>SRJXL</t>
        </is>
      </c>
      <c r="D1194" s="2" t="inlineStr">
        <is>
          <t>Центральный Процессор Montage C6248R 24 Cores, 48 Threads, 3.0/4.0GHz, 35.75M, DDR4-2933, 2S, 205W OEM</t>
        </is>
      </c>
      <c r="E1194" s="2">
        <v>10</v>
      </c>
      <c r="F1194" s="2">
        <v>10</v>
      </c>
      <c r="H1194" s="2">
        <v>1358</v>
      </c>
      <c r="I1194" s="2" t="inlineStr">
        <is>
          <t>$</t>
        </is>
      </c>
      <c r="J1194" s="2">
        <f>HYPERLINK("https://app.astro.lead-studio.pro/product/9d72fde7-702c-4e78-bb9e-b564e2203452")</f>
      </c>
    </row>
    <row r="1195" spans="1:10" customHeight="0">
      <c r="A1195" s="2" t="inlineStr">
        <is>
          <t>Процессоры (CPU) для серверов</t>
        </is>
      </c>
      <c r="B1195" s="2" t="inlineStr">
        <is>
          <t>AMD</t>
        </is>
      </c>
      <c r="C1195" s="2" t="inlineStr">
        <is>
          <t>100-000000139</t>
        </is>
      </c>
      <c r="D1195" s="2" t="inlineStr">
        <is>
          <t>Центральный Процессор AMD AMD EPYC 7F32 8 Cores, 16 Threads, 3.7/3.9GHz, 128M, DDR4-3200, 2S, 180/180W</t>
        </is>
      </c>
      <c r="E1195" s="2">
        <v>2</v>
      </c>
      <c r="F1195" s="2">
        <v>2</v>
      </c>
      <c r="H1195" s="2">
        <v>936</v>
      </c>
      <c r="I1195" s="2" t="inlineStr">
        <is>
          <t>$</t>
        </is>
      </c>
      <c r="J1195" s="2">
        <f>HYPERLINK("https://app.astro.lead-studio.pro/product/89be4927-abbc-48ef-8282-d2125f91aab1")</f>
      </c>
    </row>
    <row r="1196" spans="1:10" customHeight="0">
      <c r="A1196" s="2" t="inlineStr">
        <is>
          <t>Процессоры (CPU) для серверов</t>
        </is>
      </c>
      <c r="B1196" s="2" t="inlineStr">
        <is>
          <t>AMD</t>
        </is>
      </c>
      <c r="C1196" s="2" t="inlineStr">
        <is>
          <t>100-000000313</t>
        </is>
      </c>
      <c r="D1196" s="2" t="inlineStr">
        <is>
          <t>Центральный Процессор AMD AMD EPYC 75F3 32 Cores, 64 Threads, 2.95/4.0GHz, 256M, DDR4-3200, 2S, 280/280W</t>
        </is>
      </c>
      <c r="E1196" s="2">
        <v>1</v>
      </c>
      <c r="F1196" s="2">
        <v>1</v>
      </c>
      <c r="H1196" s="2">
        <v>2378</v>
      </c>
      <c r="I1196" s="2" t="inlineStr">
        <is>
          <t>$</t>
        </is>
      </c>
      <c r="J1196" s="2">
        <f>HYPERLINK("https://app.astro.lead-studio.pro/product/29c9c864-9461-456f-ab73-d9c2d64b84b4")</f>
      </c>
    </row>
    <row r="1197" spans="1:10" customHeight="0">
      <c r="A1197" s="2" t="inlineStr">
        <is>
          <t>Процессоры (CPU) для серверов</t>
        </is>
      </c>
      <c r="B1197" s="2" t="inlineStr">
        <is>
          <t>AMD</t>
        </is>
      </c>
      <c r="C1197" s="2" t="inlineStr">
        <is>
          <t>100-000000318</t>
        </is>
      </c>
      <c r="D1197" s="2" t="inlineStr">
        <is>
          <t>Центральный Процессор AMD AMD EPYC 7663 56 Cores, 112 Threads, 2.0/3.5GHz, 256M, DDR4-3200, 2S, 240/240W</t>
        </is>
      </c>
      <c r="E1197" s="2">
        <v>4</v>
      </c>
      <c r="F1197" s="2">
        <v>4</v>
      </c>
      <c r="H1197" s="2">
        <v>1391</v>
      </c>
      <c r="I1197" s="2" t="inlineStr">
        <is>
          <t>$</t>
        </is>
      </c>
      <c r="J1197" s="2">
        <f>HYPERLINK("https://app.astro.lead-studio.pro/product/d939cd1c-e75c-4eeb-b661-2530b602d676")</f>
      </c>
    </row>
    <row r="1198" spans="1:10" customHeight="0">
      <c r="A1198" s="2" t="inlineStr">
        <is>
          <t>Процессоры (CPU) для серверов</t>
        </is>
      </c>
      <c r="B1198" s="2" t="inlineStr">
        <is>
          <t>AMD</t>
        </is>
      </c>
      <c r="C1198" s="2" t="inlineStr">
        <is>
          <t>100-000000321</t>
        </is>
      </c>
      <c r="D1198" s="2" t="inlineStr">
        <is>
          <t>Центральный Процессор AMD AMD EPYC 73F3 16 Cores, 32 Threads, 3.5/4.0GHz, 256M, DDR4-3200, 2S, 240/240W</t>
        </is>
      </c>
      <c r="E1198" s="2">
        <v>4</v>
      </c>
      <c r="F1198" s="2">
        <v>4</v>
      </c>
      <c r="H1198" s="2">
        <v>2080</v>
      </c>
      <c r="I1198" s="2" t="inlineStr">
        <is>
          <t>$</t>
        </is>
      </c>
      <c r="J1198" s="2">
        <f>HYPERLINK("https://app.astro.lead-studio.pro/product/d028f4fa-0ce8-42ae-9efb-971a0c88647d")</f>
      </c>
    </row>
    <row r="1199" spans="1:10" customHeight="0">
      <c r="A1199" s="2" t="inlineStr">
        <is>
          <t>Процессоры (CPU) для серверов</t>
        </is>
      </c>
      <c r="B1199" s="2" t="inlineStr">
        <is>
          <t>AMD</t>
        </is>
      </c>
      <c r="C1199" s="2" t="inlineStr">
        <is>
          <t>100-000000326</t>
        </is>
      </c>
      <c r="D1199" s="2" t="inlineStr">
        <is>
          <t>Центральный Процессор AMD AMD EPYC 7643 48 Cores, 96 Threads, 2.3/3.6GHz, 256M, DDR4-3200, 2S, 225/240W</t>
        </is>
      </c>
      <c r="E1199" s="2">
        <v>4</v>
      </c>
      <c r="F1199" s="2">
        <v>4</v>
      </c>
      <c r="H1199" s="2">
        <v>1860</v>
      </c>
      <c r="I1199" s="2" t="inlineStr">
        <is>
          <t>$</t>
        </is>
      </c>
      <c r="J1199" s="2">
        <f>HYPERLINK("https://app.astro.lead-studio.pro/product/1658c6e3-84d2-4888-a752-2a37407cb4f6")</f>
      </c>
    </row>
    <row r="1200" spans="1:10" customHeight="0">
      <c r="A1200" s="2" t="inlineStr">
        <is>
          <t>Процессоры (CPU) для серверов</t>
        </is>
      </c>
      <c r="B1200" s="2" t="inlineStr">
        <is>
          <t>AMD</t>
        </is>
      </c>
      <c r="C1200" s="2" t="inlineStr">
        <is>
          <t>100-000000334</t>
        </is>
      </c>
      <c r="D1200" s="2" t="inlineStr">
        <is>
          <t>Центральный Процессор AMD AMD EPYC 7513 32 Cores, 64 Threads, 2.6/3.65GHz, 128M, DDR4-3200, 2S, 200/200W OEM (801716) {2}</t>
        </is>
      </c>
      <c r="E1200" s="2">
        <v>4</v>
      </c>
      <c r="F1200" s="2">
        <v>4</v>
      </c>
      <c r="H1200" s="2">
        <v>1215</v>
      </c>
      <c r="I1200" s="2" t="inlineStr">
        <is>
          <t>$</t>
        </is>
      </c>
      <c r="J1200" s="2">
        <f>HYPERLINK("https://app.astro.lead-studio.pro/product/d1008672-cbe2-4b10-8a6b-62d0a88bb1ed")</f>
      </c>
    </row>
    <row r="1201" spans="1:10" customHeight="0">
      <c r="A1201" s="2" t="inlineStr">
        <is>
          <t>Процессоры (CPU) для серверов</t>
        </is>
      </c>
      <c r="B1201" s="2" t="inlineStr">
        <is>
          <t>AMD</t>
        </is>
      </c>
      <c r="C1201" s="2" t="inlineStr">
        <is>
          <t>100-000000340</t>
        </is>
      </c>
      <c r="D1201" s="2" t="inlineStr">
        <is>
          <t>Центральный Процессор AMD AMD EPYC 7443 24 Cores, 48 Threads, 2.85/4.0GHz, 128M, DDR4-3200, 2S, 200/200W</t>
        </is>
      </c>
      <c r="E1201" s="2">
        <v>4</v>
      </c>
      <c r="F1201" s="2">
        <v>4</v>
      </c>
      <c r="H1201" s="2">
        <v>1205</v>
      </c>
      <c r="I1201" s="2" t="inlineStr">
        <is>
          <t>$</t>
        </is>
      </c>
      <c r="J1201" s="2">
        <f>HYPERLINK("https://app.astro.lead-studio.pro/product/a579f965-b74b-4654-aec9-d03764ca147f")</f>
      </c>
    </row>
    <row r="1202" spans="1:10" customHeight="0">
      <c r="A1202" s="2" t="inlineStr">
        <is>
          <t>Процессоры (CPU) для серверов</t>
        </is>
      </c>
      <c r="B1202" s="2" t="inlineStr">
        <is>
          <t>AMD</t>
        </is>
      </c>
      <c r="C1202" s="2" t="inlineStr">
        <is>
          <t>100-000000342</t>
        </is>
      </c>
      <c r="D1202" s="2" t="inlineStr">
        <is>
          <t>Центральный Процессор AMD AMD EPYC 7443P 24 Cores, 48 Threads, 2.85/4.0GHz, 128M, DDR4-3200, 1S, 200/200W OEM {8}</t>
        </is>
      </c>
      <c r="E1202" s="2">
        <v>1</v>
      </c>
      <c r="F1202" s="2">
        <v>1</v>
      </c>
      <c r="H1202" s="2">
        <v>839</v>
      </c>
      <c r="I1202" s="2" t="inlineStr">
        <is>
          <t>$</t>
        </is>
      </c>
      <c r="J1202" s="2">
        <f>HYPERLINK("https://app.astro.lead-studio.pro/product/9b5f05fa-bedc-4909-8f5f-76a8d9d9241c")</f>
      </c>
    </row>
    <row r="1203" spans="1:10" customHeight="0">
      <c r="A1203" s="2" t="inlineStr">
        <is>
          <t>Процессоры (CPU) для серверов</t>
        </is>
      </c>
      <c r="B1203" s="2" t="inlineStr">
        <is>
          <t>AMD</t>
        </is>
      </c>
      <c r="C1203" s="2" t="inlineStr">
        <is>
          <t>100-000000792</t>
        </is>
      </c>
      <c r="D1203" s="2" t="inlineStr">
        <is>
          <t>Центральный Процессор AMD EPYC 9374F 32 Cores, 64 Threads, 3.85/4.1GHz, 256MB, DDR5-4800, 2S, 320/400W OEM</t>
        </is>
      </c>
      <c r="E1203" s="2">
        <v>4</v>
      </c>
      <c r="F1203" s="2">
        <v>4</v>
      </c>
      <c r="H1203" s="2">
        <v>3496</v>
      </c>
      <c r="I1203" s="2" t="inlineStr">
        <is>
          <t>$</t>
        </is>
      </c>
      <c r="J1203" s="2">
        <f>HYPERLINK("https://app.astro.lead-studio.pro/product/4bf6d748-59b1-460e-b323-48f8cfd7835c")</f>
      </c>
    </row>
    <row r="1204" spans="1:10" customHeight="0">
      <c r="A1204" s="2" t="inlineStr">
        <is>
          <t>Процессоры (CPU) для серверов</t>
        </is>
      </c>
      <c r="B1204" s="2" t="inlineStr">
        <is>
          <t>AMD</t>
        </is>
      </c>
      <c r="C1204" s="2" t="inlineStr">
        <is>
          <t>100-000000939</t>
        </is>
      </c>
      <c r="D1204" s="2" t="inlineStr">
        <is>
          <t>Центральный Процессор AMD EPYC 9224 24 Cores, 48 Threads, 2.5/3.65GHz, 64MB, DDR5-4800, 2S, 200/240W OEM</t>
        </is>
      </c>
      <c r="E1204" s="2">
        <v>1</v>
      </c>
      <c r="F1204" s="2">
        <v>1</v>
      </c>
      <c r="H1204" s="2">
        <v>2207</v>
      </c>
      <c r="I1204" s="2" t="inlineStr">
        <is>
          <t>$</t>
        </is>
      </c>
      <c r="J1204" s="2">
        <f>HYPERLINK("https://app.astro.lead-studio.pro/product/bad9f0fe-6ad0-4df7-b5ec-a7bf9bbe929b")</f>
      </c>
    </row>
    <row r="1205" spans="1:10" customHeight="0">
      <c r="A1205" s="2" t="inlineStr">
        <is>
          <t>Процессоры (CPU) для серверов</t>
        </is>
      </c>
      <c r="B1205" s="2" t="inlineStr">
        <is>
          <t>Intel</t>
        </is>
      </c>
      <c r="C1205" s="2" t="inlineStr">
        <is>
          <t>CM8070804494716</t>
        </is>
      </c>
      <c r="D1205" s="2" t="inlineStr">
        <is>
          <t>Центральный Процессор Intel Xeon E-2386G 6 Cores, 12 Threads, 3.5/5.1GHz, 12M, DDR4-3200, 95W OEM </t>
        </is>
      </c>
      <c r="E1205" s="2">
        <v>3</v>
      </c>
      <c r="F1205" s="2">
        <v>3</v>
      </c>
      <c r="H1205" s="2">
        <v>688</v>
      </c>
      <c r="I1205" s="2" t="inlineStr">
        <is>
          <t>$</t>
        </is>
      </c>
      <c r="J1205" s="2">
        <f>HYPERLINK("https://app.astro.lead-studio.pro/product/8e5c5f24-4608-45ab-ab69-f95ff77d1740")</f>
      </c>
    </row>
    <row r="1206" spans="1:10" customHeight="0">
      <c r="A1206" s="2" t="inlineStr">
        <is>
          <t>Процессоры (CPU) для серверов</t>
        </is>
      </c>
      <c r="B1206" s="2" t="inlineStr">
        <is>
          <t>Intel</t>
        </is>
      </c>
      <c r="C1206" s="2" t="inlineStr">
        <is>
          <t>CD8069504446300</t>
        </is>
      </c>
      <c r="D1206" s="2" t="inlineStr">
        <is>
          <t>Центральный Процессор Intel Xeon® Gold 5218R 20 Cores, 40 Threads, 2.1/4.0GHz, 27.5M, DDR4-2666, 2S, 125W OEM</t>
        </is>
      </c>
      <c r="E1206" s="2">
        <v>2</v>
      </c>
      <c r="F1206" s="2">
        <v>2</v>
      </c>
      <c r="H1206" s="2">
        <v>1068</v>
      </c>
      <c r="I1206" s="2" t="inlineStr">
        <is>
          <t>$</t>
        </is>
      </c>
      <c r="J1206" s="2">
        <f>HYPERLINK("https://app.astro.lead-studio.pro/product/c8ee6e98-3fd7-47ff-af2f-dcdd061f97bd")</f>
      </c>
    </row>
    <row r="1207" spans="1:10" customHeight="0">
      <c r="A1207" s="2" t="inlineStr">
        <is>
          <t>Процессоры (CPU) для серверов</t>
        </is>
      </c>
      <c r="B1207" s="2" t="inlineStr">
        <is>
          <t>Intel</t>
        </is>
      </c>
      <c r="C1207" s="2" t="inlineStr">
        <is>
          <t>CD8069504448600</t>
        </is>
      </c>
      <c r="D1207" s="2" t="inlineStr">
        <is>
          <t>Центральный Процессор Intel Xeon® Gold 6240R 24 Cores, 48 Threads, 2.4/4.0GHz, 35.75M, DDR4-2933, 2S, 165W OEM (682797)</t>
        </is>
      </c>
      <c r="E1207" s="2">
        <v>1</v>
      </c>
      <c r="F1207" s="2">
        <v>1</v>
      </c>
      <c r="H1207" s="2">
        <v>1679</v>
      </c>
      <c r="I1207" s="2" t="inlineStr">
        <is>
          <t>$</t>
        </is>
      </c>
      <c r="J1207" s="2">
        <f>HYPERLINK("https://app.astro.lead-studio.pro/product/7933e582-8f13-4327-9ec6-5e6b3f40e598")</f>
      </c>
    </row>
    <row r="1208" spans="1:10" customHeight="0">
      <c r="A1208" s="2" t="inlineStr">
        <is>
          <t>Процессоры (CPU) для серверов</t>
        </is>
      </c>
      <c r="B1208" s="2" t="inlineStr">
        <is>
          <t>Intel</t>
        </is>
      </c>
      <c r="C1208" s="2" t="inlineStr">
        <is>
          <t>CD8069504449000</t>
        </is>
      </c>
      <c r="D1208" s="2" t="inlineStr">
        <is>
          <t>Центральный Процессор Intel Xeon® Gold 6226R 16 Cores, 32 Threads, 2.9/3.9GHz, 22M, DDR4-2933, 2S, 150W OEM (675423)</t>
        </is>
      </c>
      <c r="E1208" s="2">
        <v>10</v>
      </c>
      <c r="F1208" s="2">
        <v>10</v>
      </c>
      <c r="H1208" s="2">
        <v>1093</v>
      </c>
      <c r="I1208" s="2" t="inlineStr">
        <is>
          <t>$</t>
        </is>
      </c>
      <c r="J1208" s="2">
        <f>HYPERLINK("https://app.astro.lead-studio.pro/product/6cf98b55-f17c-46be-b4ce-0425ce82199a")</f>
      </c>
    </row>
    <row r="1209" spans="1:10" customHeight="0">
      <c r="A1209" s="2" t="inlineStr">
        <is>
          <t>Процессоры (CPU) для серверов</t>
        </is>
      </c>
      <c r="B1209" s="2" t="inlineStr">
        <is>
          <t>Intel</t>
        </is>
      </c>
      <c r="C1209" s="2" t="inlineStr">
        <is>
          <t>CD8069504449000pull</t>
        </is>
      </c>
      <c r="D1209" s="2" t="inlineStr">
        <is>
          <t>Центральный Процессор Intel Xeon® Gold 6226R PULL 16 Cores, 32 Threads, 2.9/3.9GHz, 22M, DDR4-2933, 2S, 150W OEM (675423)</t>
        </is>
      </c>
      <c r="E1209" s="2">
        <v>10</v>
      </c>
      <c r="F1209" s="2">
        <v>10</v>
      </c>
      <c r="H1209" s="2">
        <v>1081</v>
      </c>
      <c r="I1209" s="2" t="inlineStr">
        <is>
          <t>$</t>
        </is>
      </c>
      <c r="J1209" s="2">
        <f>HYPERLINK("https://app.astro.lead-studio.pro/product/7747c6dd-a3d1-4928-bc73-9bb1de191a73")</f>
      </c>
    </row>
    <row r="1210" spans="1:10" customHeight="0">
      <c r="A1210" s="2" t="inlineStr">
        <is>
          <t>Процессоры (CPU) для серверов</t>
        </is>
      </c>
      <c r="B1210" s="2" t="inlineStr">
        <is>
          <t>Intel</t>
        </is>
      </c>
      <c r="C1210" s="2" t="inlineStr">
        <is>
          <t>CD8069504449401</t>
        </is>
      </c>
      <c r="D1210" s="2" t="inlineStr">
        <is>
          <t>Центральный Процессор Intel Xeon® Gold 6248R 24 Cores, 48 Threads, 3.0/4.0GHz, 35.75M, DDR4-2933, 2S, 205W OEM</t>
        </is>
      </c>
      <c r="E1210" s="2">
        <v>10</v>
      </c>
      <c r="F1210" s="2">
        <v>10</v>
      </c>
      <c r="H1210" s="2">
        <v>1921</v>
      </c>
      <c r="I1210" s="2" t="inlineStr">
        <is>
          <t>$</t>
        </is>
      </c>
      <c r="J1210" s="2">
        <f>HYPERLINK("https://app.astro.lead-studio.pro/product/e4e864f7-92de-4e34-afb4-b71631f4dec2")</f>
      </c>
    </row>
    <row r="1211" spans="1:10" customHeight="0">
      <c r="A1211" s="2" t="inlineStr">
        <is>
          <t>Процессоры (CPU) для серверов</t>
        </is>
      </c>
      <c r="B1211" s="2" t="inlineStr">
        <is>
          <t>Intel</t>
        </is>
      </c>
      <c r="C1211" s="2" t="inlineStr">
        <is>
          <t>CD8069504449801</t>
        </is>
      </c>
      <c r="D1211" s="2" t="inlineStr">
        <is>
          <t>Центральный Процессор Intel Xeon® Gold 6246R 16 Cores, 32 Threads, 3.4/4.1GHz, 35.75M, DDR4-2933, 2S, 205W OEM</t>
        </is>
      </c>
      <c r="E1211" s="2">
        <v>10</v>
      </c>
      <c r="F1211" s="2">
        <v>10</v>
      </c>
      <c r="H1211" s="2">
        <v>1650</v>
      </c>
      <c r="I1211" s="2" t="inlineStr">
        <is>
          <t>$</t>
        </is>
      </c>
      <c r="J1211" s="2">
        <f>HYPERLINK("https://app.astro.lead-studio.pro/product/c46deece-e496-4137-abb8-c94d07671ccc")</f>
      </c>
    </row>
    <row r="1212" spans="1:10" customHeight="0">
      <c r="A1212" s="2" t="inlineStr">
        <is>
          <t>Процессоры (CPU) для серверов</t>
        </is>
      </c>
      <c r="B1212" s="2" t="inlineStr">
        <is>
          <t>Intel</t>
        </is>
      </c>
      <c r="C1212" s="2" t="inlineStr">
        <is>
          <t>CD8069504451301</t>
        </is>
      </c>
      <c r="D1212" s="2" t="inlineStr">
        <is>
          <t>Центральный Процессор Intel Xeon® Gold 5220R 24 Cores, 48 Threads, 2.2/4.0GHz, 35.75M, DDR4-2666, 2S, 150W OEM</t>
        </is>
      </c>
      <c r="E1212" s="2">
        <v>10</v>
      </c>
      <c r="F1212" s="2">
        <v>10</v>
      </c>
      <c r="H1212" s="2">
        <v>1416</v>
      </c>
      <c r="I1212" s="2" t="inlineStr">
        <is>
          <t>$</t>
        </is>
      </c>
      <c r="J1212" s="2">
        <f>HYPERLINK("https://app.astro.lead-studio.pro/product/af84dc4c-6880-4572-ad92-a403e7c98cf2")</f>
      </c>
    </row>
    <row r="1213" spans="1:10" customHeight="0">
      <c r="A1213" s="2" t="inlineStr">
        <is>
          <t>Процессоры (CPU) для серверов</t>
        </is>
      </c>
      <c r="B1213" s="2" t="inlineStr">
        <is>
          <t>Intel</t>
        </is>
      </c>
      <c r="C1213" s="2" t="inlineStr">
        <is>
          <t>CD8069504451301_Pull</t>
        </is>
      </c>
      <c r="D1213" s="2" t="inlineStr">
        <is>
          <t>Центральный Процессор Intel Xeon® Gold 5220R PULL 24 Cores, 48 Threads, 2.2/4.0GHz, 35.75M, DDR4-2666, 2S, 150W</t>
        </is>
      </c>
      <c r="E1213" s="2">
        <v>10</v>
      </c>
      <c r="F1213" s="2">
        <v>10</v>
      </c>
      <c r="H1213" s="2">
        <v>1377</v>
      </c>
      <c r="I1213" s="2" t="inlineStr">
        <is>
          <t>$</t>
        </is>
      </c>
      <c r="J1213" s="2">
        <f>HYPERLINK("https://app.astro.lead-studio.pro/product/15399605-18c0-4342-81f1-4d5964c3591c")</f>
      </c>
    </row>
    <row r="1214" spans="1:10" customHeight="0">
      <c r="A1214" s="2" t="inlineStr">
        <is>
          <t>Процессоры (CPU) для серверов</t>
        </is>
      </c>
      <c r="B1214" s="2" t="inlineStr">
        <is>
          <t>Lenovo</t>
        </is>
      </c>
      <c r="C1214" s="2" t="inlineStr">
        <is>
          <t>4XG7A63443</t>
        </is>
      </c>
      <c r="D1214" s="2" t="inlineStr">
        <is>
          <t>Центральный Процессор Lenovo 4XG7A63443 ThinkSystem SR650 V2 Intel Xeon Silver 4309Y 8C 105W 2.8GHz Processor Option Kit w/o Fan</t>
        </is>
      </c>
      <c r="E1214" s="2">
        <v>1</v>
      </c>
      <c r="F1214" s="2">
        <v>1</v>
      </c>
      <c r="H1214" s="2">
        <v>1209</v>
      </c>
      <c r="I1214" s="2" t="inlineStr">
        <is>
          <t>$</t>
        </is>
      </c>
      <c r="J1214" s="2">
        <f>HYPERLINK("https://app.astro.lead-studio.pro/product/1ae4d507-f25f-4ce7-bd20-24200d2f45ef")</f>
      </c>
    </row>
    <row r="1215" spans="1:10" customHeight="0">
      <c r="A1215" s="2" t="inlineStr">
        <is>
          <t>Процессоры (CPU) для серверов</t>
        </is>
      </c>
      <c r="B1215" s="2" t="inlineStr">
        <is>
          <t>Lenovo</t>
        </is>
      </c>
      <c r="C1215" s="2" t="inlineStr">
        <is>
          <t>4XG7A63446</t>
        </is>
      </c>
      <c r="D1215" s="2" t="inlineStr">
        <is>
          <t>Центральный Процессор Lenovo 4XG7A63446 ThinkSystem SR650 V2 Intel Xeon Gold 6326 16C 185W 2.9GHz Processor Option Kit w/o Fan</t>
        </is>
      </c>
      <c r="E1215" s="2">
        <v>8</v>
      </c>
      <c r="F1215" s="2">
        <v>8</v>
      </c>
      <c r="H1215" s="2">
        <v>2487</v>
      </c>
      <c r="I1215" s="2" t="inlineStr">
        <is>
          <t>$</t>
        </is>
      </c>
      <c r="J1215" s="2">
        <f>HYPERLINK("https://app.astro.lead-studio.pro/product/23dc7892-3fc0-4cb9-9910-c18883e0af48")</f>
      </c>
    </row>
    <row r="1216" spans="1:10" customHeight="0">
      <c r="A1216" s="2" t="inlineStr">
        <is>
          <t>Процессоры (CPU) для серверов</t>
        </is>
      </c>
      <c r="B1216" s="2" t="inlineStr">
        <is>
          <t>Lenovo</t>
        </is>
      </c>
      <c r="C1216" s="2" t="inlineStr">
        <is>
          <t>4XG7A63446||part</t>
        </is>
      </c>
      <c r="D1216" s="2" t="inlineStr">
        <is>
          <t>Центральный Процессор Lenovo 4XG7A63446 (ввезен в составе 7Z73TA7Y00 ГТД 10005030/070223/3029560/14) ThinkSystem SR650 V2 Intel Xeon Gold 6326 16C 185W 2.9GHz Processor Option Kit w/o Fan</t>
        </is>
      </c>
      <c r="E1216" s="2">
        <v>1</v>
      </c>
      <c r="F1216" s="2">
        <v>1</v>
      </c>
      <c r="H1216" s="2">
        <v>3024</v>
      </c>
      <c r="I1216" s="2" t="inlineStr">
        <is>
          <t>$</t>
        </is>
      </c>
      <c r="J1216" s="2">
        <f>HYPERLINK("https://app.astro.lead-studio.pro/product/f1244618-356c-4ed0-bca0-28213a201e2f")</f>
      </c>
    </row>
    <row r="1217" spans="1:10" customHeight="0">
      <c r="A1217" s="2" t="inlineStr">
        <is>
          <t>Процессоры (CPU) для серверов</t>
        </is>
      </c>
      <c r="B1217" s="2" t="inlineStr">
        <is>
          <t>Lenovo</t>
        </is>
      </c>
      <c r="C1217" s="2" t="inlineStr">
        <is>
          <t>4XG7A63455</t>
        </is>
      </c>
      <c r="D1217" s="2" t="inlineStr">
        <is>
          <t>Центральный Процессор Lenovo 4XG7A63455 ThinkSystem SR650 V2 Intel Xeon Silver 4314 16C 135W 2.4GHz Processor Option Kit w/o Fan</t>
        </is>
      </c>
      <c r="E1217" s="2">
        <v>9</v>
      </c>
      <c r="F1217" s="2">
        <v>9</v>
      </c>
      <c r="H1217" s="2">
        <v>1612</v>
      </c>
      <c r="I1217" s="2" t="inlineStr">
        <is>
          <t>$</t>
        </is>
      </c>
      <c r="J1217" s="2">
        <f>HYPERLINK("https://app.astro.lead-studio.pro/product/fc61bf7d-21aa-480b-b776-958523505215")</f>
      </c>
    </row>
    <row r="1218" spans="1:10" customHeight="0">
      <c r="A1218" s="2" t="inlineStr">
        <is>
          <t>Процессоры (CPU) для серверов</t>
        </is>
      </c>
      <c r="B1218" s="2" t="inlineStr">
        <is>
          <t>Lenovo</t>
        </is>
      </c>
      <c r="C1218" s="2" t="inlineStr">
        <is>
          <t>4XG7A63574</t>
        </is>
      </c>
      <c r="D1218" s="2" t="inlineStr">
        <is>
          <t>Центральный Процессор Lenovo ThinkSystem SR630 V2 Intel Xeon Gold 6342 24C 230W 2.8GHz Option Kit w/o Fan </t>
        </is>
      </c>
      <c r="E1218" s="2">
        <v>4</v>
      </c>
      <c r="F1218" s="2">
        <v>4</v>
      </c>
      <c r="H1218" s="2">
        <v>6301</v>
      </c>
      <c r="I1218" s="2" t="inlineStr">
        <is>
          <t>$</t>
        </is>
      </c>
      <c r="J1218" s="2">
        <f>HYPERLINK("https://app.astro.lead-studio.pro/product/7e7c1356-909c-414b-a037-07efa0fe1abe")</f>
      </c>
    </row>
    <row r="1219" spans="1:10" customHeight="0">
      <c r="A1219" s="2" t="inlineStr">
        <is>
          <t>Процессоры (CPU) для серверов</t>
        </is>
      </c>
      <c r="B1219" s="2" t="inlineStr">
        <is>
          <t>Intel</t>
        </is>
      </c>
      <c r="C1219" s="2" t="inlineStr">
        <is>
          <t>CD8068904570101</t>
        </is>
      </c>
      <c r="D1219" s="2" t="inlineStr">
        <is>
          <t>Центральный Процессор Intel Xeon® Gold 6314U 32 Cores, 64 Threads, 2.3/3.4GHz, 48M, DDR4-3200, 1S, 205W</t>
        </is>
      </c>
      <c r="E1219" s="2">
        <v>10</v>
      </c>
      <c r="F1219" s="2">
        <v>10</v>
      </c>
      <c r="H1219" s="2">
        <v>2188</v>
      </c>
      <c r="I1219" s="2" t="inlineStr">
        <is>
          <t>$</t>
        </is>
      </c>
      <c r="J1219" s="2">
        <f>HYPERLINK("https://app.astro.lead-studio.pro/product/0189d457-ae8c-486e-8d84-fa29085ba7b0")</f>
      </c>
    </row>
    <row r="1220" spans="1:10" customHeight="0">
      <c r="A1220" s="2" t="inlineStr">
        <is>
          <t>Процессоры (CPU) для серверов</t>
        </is>
      </c>
      <c r="B1220" s="2" t="inlineStr">
        <is>
          <t>Intel</t>
        </is>
      </c>
      <c r="C1220" s="2" t="inlineStr">
        <is>
          <t>CD8068904571601</t>
        </is>
      </c>
      <c r="D1220" s="2" t="inlineStr">
        <is>
          <t>Центральный Процессор Intel Xeon® Gold 6354 18 Cores, 36 Threads, 3.0/3.6GHz, 39M, DDR4-3200, 2S, 205W OEM</t>
        </is>
      </c>
      <c r="E1220" s="2">
        <v>10</v>
      </c>
      <c r="F1220" s="2">
        <v>10</v>
      </c>
      <c r="H1220" s="2">
        <v>2514</v>
      </c>
      <c r="I1220" s="2" t="inlineStr">
        <is>
          <t>$</t>
        </is>
      </c>
      <c r="J1220" s="2">
        <f>HYPERLINK("https://app.astro.lead-studio.pro/product/e16bf6cb-4418-42c0-aa1d-9f6cf8b756bb")</f>
      </c>
    </row>
    <row r="1221" spans="1:10" customHeight="0">
      <c r="A1221" s="2" t="inlineStr">
        <is>
          <t>Процессоры (CPU) для серверов</t>
        </is>
      </c>
      <c r="B1221" s="2" t="inlineStr">
        <is>
          <t>Intel</t>
        </is>
      </c>
      <c r="C1221" s="2" t="inlineStr">
        <is>
          <t>CD8068904572101</t>
        </is>
      </c>
      <c r="D1221" s="2" t="inlineStr">
        <is>
          <t>Центральный Процессор Intel Xeon® Gold 6330 28 Cores, 56 Threads, 2.0/3.1GHz, 42M, DDR4-2933, 2S, 205W OEM</t>
        </is>
      </c>
      <c r="E1221" s="2">
        <v>10</v>
      </c>
      <c r="F1221" s="2">
        <v>10</v>
      </c>
      <c r="H1221" s="2">
        <v>1152</v>
      </c>
      <c r="I1221" s="2" t="inlineStr">
        <is>
          <t>$</t>
        </is>
      </c>
      <c r="J1221" s="2">
        <f>HYPERLINK("https://app.astro.lead-studio.pro/product/87231fe6-8552-4989-b7f1-0a2ea87bc3bf")</f>
      </c>
    </row>
    <row r="1222" spans="1:10" customHeight="0">
      <c r="A1222" s="2" t="inlineStr">
        <is>
          <t>Процессоры (CPU) для серверов</t>
        </is>
      </c>
      <c r="B1222" s="2" t="inlineStr">
        <is>
          <t>Intel</t>
        </is>
      </c>
      <c r="C1222" s="2" t="inlineStr">
        <is>
          <t>CD8068904572501</t>
        </is>
      </c>
      <c r="D1222" s="2" t="inlineStr">
        <is>
          <t>Центральный Процессор Intel Xeon® Gold 6338 32 Cores, 64 Threads, 2.0/3.2GHz, 48M, DDR4-3200, 2S, 205W OEM</t>
        </is>
      </c>
      <c r="E1222" s="2">
        <v>2</v>
      </c>
      <c r="F1222" s="2">
        <v>2</v>
      </c>
      <c r="H1222" s="2">
        <v>2008</v>
      </c>
      <c r="I1222" s="2" t="inlineStr">
        <is>
          <t>$</t>
        </is>
      </c>
      <c r="J1222" s="2">
        <f>HYPERLINK("https://app.astro.lead-studio.pro/product/fc7fc773-948d-4353-91ef-cf7826babbf8")</f>
      </c>
    </row>
    <row r="1223" spans="1:10" customHeight="0">
      <c r="A1223" s="2" t="inlineStr">
        <is>
          <t>Процессоры (CPU) для серверов</t>
        </is>
      </c>
      <c r="B1223" s="2" t="inlineStr">
        <is>
          <t>Intel</t>
        </is>
      </c>
      <c r="C1223" s="2" t="inlineStr">
        <is>
          <t>CD8068904582501</t>
        </is>
      </c>
      <c r="D1223" s="2" t="inlineStr">
        <is>
          <t>Центральный Процессор Intel Xeon® Gold 6330N 28 Cores, 56 Threads, 2.2/3.4GHz, 42M, DDR4-2667, 2S, 165W OEM</t>
        </is>
      </c>
      <c r="E1223" s="2">
        <v>10</v>
      </c>
      <c r="F1223" s="2">
        <v>10</v>
      </c>
      <c r="H1223" s="2">
        <v>2450</v>
      </c>
      <c r="I1223" s="2" t="inlineStr">
        <is>
          <t>$</t>
        </is>
      </c>
      <c r="J1223" s="2">
        <f>HYPERLINK("https://app.astro.lead-studio.pro/product/2e251750-8763-4bd2-97b8-639aee755bd0")</f>
      </c>
    </row>
    <row r="1224" spans="1:10" customHeight="0">
      <c r="A1224" s="2" t="inlineStr">
        <is>
          <t>Процессоры (CPU) для серверов</t>
        </is>
      </c>
      <c r="B1224" s="2" t="inlineStr">
        <is>
          <t>Intel</t>
        </is>
      </c>
      <c r="C1224" s="2" t="inlineStr">
        <is>
          <t>CD8068904582501 Pull</t>
        </is>
      </c>
      <c r="D1224" s="2" t="inlineStr">
        <is>
          <t>Центральный Процессор Intel Xeon® Gold 6330N 28 Cores, 56 Threads, 2.2/3.4GHz, 42M, DDR4-2667, 2S, 165W PULL</t>
        </is>
      </c>
      <c r="E1224" s="2">
        <v>5</v>
      </c>
      <c r="F1224" s="2">
        <v>5</v>
      </c>
      <c r="H1224" s="2">
        <v>2246</v>
      </c>
      <c r="I1224" s="2" t="inlineStr">
        <is>
          <t>$</t>
        </is>
      </c>
      <c r="J1224" s="2">
        <f>HYPERLINK("https://app.astro.lead-studio.pro/product/ca6e4fe1-08a7-4d57-852c-e9339aab8345")</f>
      </c>
    </row>
    <row r="1225" spans="1:10" customHeight="0">
      <c r="A1225" s="2" t="inlineStr">
        <is>
          <t>Процессоры (CPU) для серверов</t>
        </is>
      </c>
      <c r="B1225" s="2" t="inlineStr">
        <is>
          <t>Intel</t>
        </is>
      </c>
      <c r="C1225" s="2" t="inlineStr">
        <is>
          <t>CD8068904655303</t>
        </is>
      </c>
      <c r="D1225" s="2" t="inlineStr">
        <is>
          <t>Центральный Процессор Intel Xeon® Silver 4314 16 Cores, 32 Threads, 2.4/3.4GHz, 24M, DDR4-2666, 2S, 135W</t>
        </is>
      </c>
      <c r="E1225" s="2">
        <v>9</v>
      </c>
      <c r="F1225" s="2">
        <v>9</v>
      </c>
      <c r="H1225" s="2">
        <v>802</v>
      </c>
      <c r="I1225" s="2" t="inlineStr">
        <is>
          <t>$</t>
        </is>
      </c>
      <c r="J1225" s="2">
        <f>HYPERLINK("https://app.astro.lead-studio.pro/product/20b6cdd8-7452-48b4-a248-e73af4b1589d")</f>
      </c>
    </row>
    <row r="1226" spans="1:10" customHeight="0">
      <c r="A1226" s="2" t="inlineStr">
        <is>
          <t>Процессоры (CPU) для серверов</t>
        </is>
      </c>
      <c r="B1226" s="2" t="inlineStr">
        <is>
          <t>Intel</t>
        </is>
      </c>
      <c r="C1226" s="2" t="inlineStr">
        <is>
          <t>CD8068904656601</t>
        </is>
      </c>
      <c r="D1226" s="2" t="inlineStr">
        <is>
          <t>Центральный Процессор Intel Xeon® Silver 4316 20 Cores, 40 Threads, 2.3/3.4GHz, 30M, DDR4-2666, 2S, 150W</t>
        </is>
      </c>
      <c r="E1226" s="2">
        <v>10</v>
      </c>
      <c r="F1226" s="2">
        <v>10</v>
      </c>
      <c r="H1226" s="2">
        <v>1162</v>
      </c>
      <c r="I1226" s="2" t="inlineStr">
        <is>
          <t>$</t>
        </is>
      </c>
      <c r="J1226" s="2">
        <f>HYPERLINK("https://app.astro.lead-studio.pro/product/e574916d-5e11-41f4-826f-d173c2a18f3c")</f>
      </c>
    </row>
    <row r="1227" spans="1:10" customHeight="0">
      <c r="A1227" s="2" t="inlineStr">
        <is>
          <t>Процессоры (CPU) для серверов</t>
        </is>
      </c>
      <c r="B1227" s="2" t="inlineStr">
        <is>
          <t>Intel</t>
        </is>
      </c>
      <c r="C1227" s="2" t="inlineStr">
        <is>
          <t>CD8068904656703</t>
        </is>
      </c>
      <c r="D1227" s="2" t="inlineStr">
        <is>
          <t>Центральный Процессор Intel Xeon® Gold 5318Y 24 Cores, 48 Threads, 2.1/3.4GHz, 36M, DDR4-2933, 2S, Intel SST/PP, 165W OEM</t>
        </is>
      </c>
      <c r="E1227" s="2">
        <v>2</v>
      </c>
      <c r="F1227" s="2">
        <v>2</v>
      </c>
      <c r="H1227" s="2">
        <v>1356</v>
      </c>
      <c r="I1227" s="2" t="inlineStr">
        <is>
          <t>$</t>
        </is>
      </c>
      <c r="J1227" s="2">
        <f>HYPERLINK("https://app.astro.lead-studio.pro/product/33d156dd-4c7c-4175-b43e-0e9a8ffc948c")</f>
      </c>
    </row>
    <row r="1228" spans="1:10" customHeight="0">
      <c r="A1228" s="2" t="inlineStr">
        <is>
          <t>Процессоры (CPU) для серверов</t>
        </is>
      </c>
      <c r="B1228" s="2" t="inlineStr">
        <is>
          <t>Intel</t>
        </is>
      </c>
      <c r="C1228" s="2" t="inlineStr">
        <is>
          <t>CD8068904657302</t>
        </is>
      </c>
      <c r="D1228" s="2" t="inlineStr">
        <is>
          <t>Центральный Процессор Intel Xeon® Gold 5317 12 Cores, 24 Threads, 3.0/3.6GHz, 18M, DDR4-2933, 2S, 150W</t>
        </is>
      </c>
      <c r="E1228" s="2">
        <v>10</v>
      </c>
      <c r="F1228" s="2">
        <v>10</v>
      </c>
      <c r="H1228" s="2">
        <v>1418</v>
      </c>
      <c r="I1228" s="2" t="inlineStr">
        <is>
          <t>$</t>
        </is>
      </c>
      <c r="J1228" s="2">
        <f>HYPERLINK("https://app.astro.lead-studio.pro/product/6c6a1de0-8245-4e5c-ad93-212778d6dffc")</f>
      </c>
    </row>
    <row r="1229" spans="1:10" customHeight="0">
      <c r="A1229" s="2" t="inlineStr">
        <is>
          <t>Процессоры (CPU) для серверов</t>
        </is>
      </c>
      <c r="B1229" s="2" t="inlineStr">
        <is>
          <t>Intel</t>
        </is>
      </c>
      <c r="C1229" s="2" t="inlineStr">
        <is>
          <t>CD8068904657601</t>
        </is>
      </c>
      <c r="D1229" s="2" t="inlineStr">
        <is>
          <t>Центральный Процессор Intel Xeon® Gold 6334 8 Cores, 16 Threads, 3.6/3.7GHz, 18M, DDR4-3200, 2S, 165W</t>
        </is>
      </c>
      <c r="E1229" s="2">
        <v>8</v>
      </c>
      <c r="F1229" s="2">
        <v>8</v>
      </c>
      <c r="H1229" s="2">
        <v>1835</v>
      </c>
      <c r="I1229" s="2" t="inlineStr">
        <is>
          <t>$</t>
        </is>
      </c>
      <c r="J1229" s="2">
        <f>HYPERLINK("https://app.astro.lead-studio.pro/product/95485ba0-5399-43da-9901-a061eab13156")</f>
      </c>
    </row>
    <row r="1230" spans="1:10" customHeight="0">
      <c r="A1230" s="2" t="inlineStr">
        <is>
          <t>Процессоры (CPU) для серверов</t>
        </is>
      </c>
      <c r="B1230" s="2" t="inlineStr">
        <is>
          <t>Intel</t>
        </is>
      </c>
      <c r="C1230" s="2" t="inlineStr">
        <is>
          <t>CD8068904657701</t>
        </is>
      </c>
      <c r="D1230" s="2" t="inlineStr">
        <is>
          <t>Центральный Процессор Intel Xeon® Gold 6342 24 Cores, 48 Threads, 2.8/3.5GHz, 36M, DDR4-3200, 2S, 230W</t>
        </is>
      </c>
      <c r="E1230" s="2">
        <v>10</v>
      </c>
      <c r="F1230" s="2">
        <v>10</v>
      </c>
      <c r="H1230" s="2">
        <v>2783</v>
      </c>
      <c r="I1230" s="2" t="inlineStr">
        <is>
          <t>$</t>
        </is>
      </c>
      <c r="J1230" s="2">
        <f>HYPERLINK("https://app.astro.lead-studio.pro/product/0db02f78-69a9-49fe-bd04-4f12482d6ce3")</f>
      </c>
    </row>
    <row r="1231" spans="1:10" customHeight="0">
      <c r="A1231" s="2" t="inlineStr">
        <is>
          <t>Процессоры (CPU) для серверов</t>
        </is>
      </c>
      <c r="B1231" s="2" t="inlineStr">
        <is>
          <t>Intel</t>
        </is>
      </c>
      <c r="C1231" s="2" t="inlineStr">
        <is>
          <t>CD8068904657901</t>
        </is>
      </c>
      <c r="D1231" s="2" t="inlineStr">
        <is>
          <t>Центральный Процессор Intel Xeon® Silver 4310 12 Cores, 24 Threads, 2.1/3.3GHz, 18M, DDR4-2666, 2S, 120W</t>
        </is>
      </c>
      <c r="E1231" s="2">
        <v>10</v>
      </c>
      <c r="F1231" s="2">
        <v>10</v>
      </c>
      <c r="H1231" s="2">
        <v>611</v>
      </c>
      <c r="I1231" s="2" t="inlineStr">
        <is>
          <t>$</t>
        </is>
      </c>
      <c r="J1231" s="2">
        <f>HYPERLINK("https://app.astro.lead-studio.pro/product/e2dd177a-63ba-4b07-b627-4a462e5e4310")</f>
      </c>
    </row>
    <row r="1232" spans="1:10" customHeight="0">
      <c r="A1232" s="2" t="inlineStr">
        <is>
          <t>Процессоры (CPU) для серверов</t>
        </is>
      </c>
      <c r="B1232" s="2" t="inlineStr">
        <is>
          <t>Intel</t>
        </is>
      </c>
      <c r="C1232" s="2" t="inlineStr">
        <is>
          <t>CD8068904658102</t>
        </is>
      </c>
      <c r="D1232" s="2" t="inlineStr">
        <is>
          <t>Центральный Процессор Intel Xeon® Silver 4309Y 8 Cores, 16 Threads, 2.8/3.6GHz, 12M, DDR4-2666, 6TB, 2S, 105W</t>
        </is>
      </c>
      <c r="E1232" s="2">
        <v>10</v>
      </c>
      <c r="F1232" s="2">
        <v>10</v>
      </c>
      <c r="H1232" s="2">
        <v>653</v>
      </c>
      <c r="I1232" s="2" t="inlineStr">
        <is>
          <t>$</t>
        </is>
      </c>
      <c r="J1232" s="2">
        <f>HYPERLINK("https://app.astro.lead-studio.pro/product/ce445e1f-5add-4389-8440-35b2cda03467")</f>
      </c>
    </row>
    <row r="1233" spans="1:10" customHeight="0">
      <c r="A1233" s="2" t="inlineStr">
        <is>
          <t>Процессоры (CPU) для серверов</t>
        </is>
      </c>
      <c r="B1233" s="2" t="inlineStr">
        <is>
          <t>Intel</t>
        </is>
      </c>
      <c r="C1233" s="2" t="inlineStr">
        <is>
          <t>CD8068904659101</t>
        </is>
      </c>
      <c r="D1233" s="2" t="inlineStr">
        <is>
          <t>Центральный Процессор Intel Xeon® Gold 5320T 20 Cores, 40 Threads, 2.3/3.5GHz, 30M, DDR4-2933, 2S, 150W</t>
        </is>
      </c>
      <c r="E1233" s="2">
        <v>10</v>
      </c>
      <c r="F1233" s="2">
        <v>10</v>
      </c>
      <c r="H1233" s="2">
        <v>2928</v>
      </c>
      <c r="I1233" s="2" t="inlineStr">
        <is>
          <t>$</t>
        </is>
      </c>
      <c r="J1233" s="2">
        <f>HYPERLINK("https://app.astro.lead-studio.pro/product/bbd0c49c-e5f3-4586-8909-647124c97df5")</f>
      </c>
    </row>
    <row r="1234" spans="1:10" customHeight="0">
      <c r="A1234" s="2" t="inlineStr">
        <is>
          <t>Процессоры (CPU) для серверов</t>
        </is>
      </c>
      <c r="B1234" s="2" t="inlineStr">
        <is>
          <t>Intel</t>
        </is>
      </c>
      <c r="C1234" s="2" t="inlineStr">
        <is>
          <t>CD8068904659201</t>
        </is>
      </c>
      <c r="D1234" s="2" t="inlineStr">
        <is>
          <t>Центральный Процессор Intel Xeon® Gold 5320 26 Cores, 52 Threads, 2.2/3.4GHz, 39M, DDR4-2933, 2S, 185W</t>
        </is>
      </c>
      <c r="E1234" s="2">
        <v>10</v>
      </c>
      <c r="F1234" s="2">
        <v>10</v>
      </c>
      <c r="H1234" s="2">
        <v>1606</v>
      </c>
      <c r="I1234" s="2" t="inlineStr">
        <is>
          <t>$</t>
        </is>
      </c>
      <c r="J1234" s="2">
        <f>HYPERLINK("https://app.astro.lead-studio.pro/product/2036a493-c0c6-401a-b9ab-19fca2933488")</f>
      </c>
    </row>
    <row r="1235" spans="1:10" customHeight="0">
      <c r="A1235" s="2" t="inlineStr">
        <is>
          <t>Процессоры (CPU) для серверов</t>
        </is>
      </c>
      <c r="B1235" s="2" t="inlineStr">
        <is>
          <t>Intel</t>
        </is>
      </c>
      <c r="C1235" s="2" t="inlineStr">
        <is>
          <t>CD8068904722404</t>
        </is>
      </c>
      <c r="D1235" s="2" t="inlineStr">
        <is>
          <t>Центральный Процессор Intel Xeon® Platinum 8362 32 Cores, 64 Threads, 2.8/3.6GHz, 48M, DDR4-3200, 2S, 265W OEM</t>
        </is>
      </c>
      <c r="E1235" s="2">
        <v>2</v>
      </c>
      <c r="F1235" s="2">
        <v>2</v>
      </c>
      <c r="H1235" s="2">
        <v>5157</v>
      </c>
      <c r="I1235" s="2" t="inlineStr">
        <is>
          <t>$</t>
        </is>
      </c>
      <c r="J1235" s="2">
        <f>HYPERLINK("https://app.astro.lead-studio.pro/product/ce75a668-396c-4f34-a4f0-1a84c444b356")</f>
      </c>
    </row>
    <row r="1236" spans="1:10" customHeight="0">
      <c r="A1236" s="2" t="inlineStr">
        <is>
          <t>Процессоры (CPU) для серверов</t>
        </is>
      </c>
      <c r="B1236" s="2" t="inlineStr">
        <is>
          <t>Intel</t>
        </is>
      </c>
      <c r="C1236" s="2" t="inlineStr">
        <is>
          <t>CD8070604481101</t>
        </is>
      </c>
      <c r="D1236" s="2" t="inlineStr">
        <is>
          <t>Центральный Процессор Intel Xeon® Gold 6348H 24 Cores, 48 Threads, 2.3/4.2GHz, 33M, DDR4-2933, 4S, 165W</t>
        </is>
      </c>
      <c r="E1236" s="2">
        <v>3</v>
      </c>
      <c r="F1236" s="2">
        <v>3</v>
      </c>
      <c r="H1236" s="2">
        <v>2289</v>
      </c>
      <c r="I1236" s="2" t="inlineStr">
        <is>
          <t>$</t>
        </is>
      </c>
      <c r="J1236" s="2">
        <f>HYPERLINK("https://app.astro.lead-studio.pro/product/722a4aa3-4804-4115-a3ed-fc20569a6da7")</f>
      </c>
    </row>
    <row r="1237" spans="1:10" customHeight="0">
      <c r="A1237" s="2" t="inlineStr">
        <is>
          <t>Процессоры (CPU) для серверов</t>
        </is>
      </c>
      <c r="B1237" s="2" t="inlineStr">
        <is>
          <t>Intel</t>
        </is>
      </c>
      <c r="C1237" s="2" t="inlineStr">
        <is>
          <t>CD8070604481600</t>
        </is>
      </c>
      <c r="D1237" s="2" t="inlineStr">
        <is>
          <t>Центральный Процессор Intel Xeon® Gold 5318H 18 Cores, 36 Threads, 2.5/3.8GHz, 24.75M, DDR4-2666, 4S, 150W</t>
        </is>
      </c>
      <c r="E1237" s="2">
        <v>7</v>
      </c>
      <c r="F1237" s="2">
        <v>7</v>
      </c>
      <c r="H1237" s="2">
        <v>1157</v>
      </c>
      <c r="I1237" s="2" t="inlineStr">
        <is>
          <t>$</t>
        </is>
      </c>
      <c r="J1237" s="2">
        <f>HYPERLINK("https://app.astro.lead-studio.pro/product/29aff1cd-49cd-4ca9-b11d-b7554a62eb10")</f>
      </c>
    </row>
    <row r="1238" spans="1:10" customHeight="0">
      <c r="A1238" s="2" t="inlineStr">
        <is>
          <t>Процессоры (CPU) для серверов</t>
        </is>
      </c>
      <c r="B1238" s="2" t="inlineStr">
        <is>
          <t>Intel</t>
        </is>
      </c>
      <c r="C1238" s="2" t="inlineStr">
        <is>
          <t>CD8070604560002</t>
        </is>
      </c>
      <c r="D1238" s="2" t="inlineStr">
        <is>
          <t>Центральный Процессор Intel Xeon® Gold 6330H 24 Cores, 48 Threads, 2.0/3.7GHz, 33M, DDR4-2933, 4S, 150W</t>
        </is>
      </c>
      <c r="E1238" s="2">
        <v>7</v>
      </c>
      <c r="F1238" s="2">
        <v>7</v>
      </c>
      <c r="H1238" s="2">
        <v>1518</v>
      </c>
      <c r="I1238" s="2" t="inlineStr">
        <is>
          <t>$</t>
        </is>
      </c>
      <c r="J1238" s="2">
        <f>HYPERLINK("https://app.astro.lead-studio.pro/product/2a502d7e-343f-4ecd-a4fb-e55d58c4be76")</f>
      </c>
    </row>
    <row r="1239" spans="1:10" customHeight="0">
      <c r="A1239" s="2" t="inlineStr">
        <is>
          <t>Процессоры (CPU) для серверов</t>
        </is>
      </c>
      <c r="B1239" s="2" t="inlineStr">
        <is>
          <t>Intel</t>
        </is>
      </c>
      <c r="C1239" s="2" t="inlineStr">
        <is>
          <t>PK8071305072001</t>
        </is>
      </c>
      <c r="D1239" s="2" t="inlineStr">
        <is>
          <t>Центральный Процессор Intel Xeon® Gold 6414U  </t>
        </is>
      </c>
      <c r="E1239" s="2">
        <v>10</v>
      </c>
      <c r="F1239" s="2">
        <v>10</v>
      </c>
      <c r="H1239" s="2">
        <v>2594</v>
      </c>
      <c r="I1239" s="2" t="inlineStr">
        <is>
          <t>$</t>
        </is>
      </c>
      <c r="J1239" s="2">
        <f>HYPERLINK("https://app.astro.lead-studio.pro/product/3b6a9b4d-a917-4f04-b064-f7b2dfd48439")</f>
      </c>
    </row>
    <row r="1240" spans="1:10" customHeight="0">
      <c r="A1240" s="2" t="inlineStr">
        <is>
          <t>Процессоры (CPU) для серверов</t>
        </is>
      </c>
      <c r="B1240" s="2" t="inlineStr">
        <is>
          <t>Intel</t>
        </is>
      </c>
      <c r="C1240" s="2" t="inlineStr">
        <is>
          <t>PK8071305072902</t>
        </is>
      </c>
      <c r="D1240" s="2" t="inlineStr">
        <is>
          <t>Центральный Процессор Intel Xeon® Gold 6430 32 Cores, 64 Threads, 2.1/3.4GHz, 60M, DDR5-4400, 2S, 270W OEM</t>
        </is>
      </c>
      <c r="E1240" s="2">
        <v>2</v>
      </c>
      <c r="F1240" s="2">
        <v>2</v>
      </c>
      <c r="H1240" s="2">
        <v>1975</v>
      </c>
      <c r="I1240" s="2" t="inlineStr">
        <is>
          <t>$</t>
        </is>
      </c>
      <c r="J1240" s="2">
        <f>HYPERLINK("https://app.astro.lead-studio.pro/product/7c3cc9da-950c-40d6-b82f-cdf303d18273")</f>
      </c>
    </row>
    <row r="1241" spans="1:10" customHeight="0">
      <c r="A1241" s="2" t="inlineStr">
        <is>
          <t>Процессоры (CPU) для серверов</t>
        </is>
      </c>
      <c r="B1241" s="2" t="inlineStr">
        <is>
          <t>Intel</t>
        </is>
      </c>
      <c r="C1241" s="2" t="inlineStr">
        <is>
          <t>PK8071305073001</t>
        </is>
      </c>
      <c r="D1241" s="2" t="inlineStr">
        <is>
          <t>Центральный Процессор Intel Xeon® Gold 6454S 32 Cores, 64 Threads, 2.2/3.4GHz, 60M, DDR5-4400, 2S, 270W OEM</t>
        </is>
      </c>
      <c r="E1241" s="2">
        <v>2</v>
      </c>
      <c r="F1241" s="2">
        <v>2</v>
      </c>
      <c r="H1241" s="2">
        <v>4007</v>
      </c>
      <c r="I1241" s="2" t="inlineStr">
        <is>
          <t>$</t>
        </is>
      </c>
      <c r="J1241" s="2">
        <f>HYPERLINK("https://app.astro.lead-studio.pro/product/5ec68fd5-d857-4b3f-a514-65f78e7ae31b")</f>
      </c>
    </row>
    <row r="1242" spans="1:10" customHeight="0">
      <c r="A1242" s="2" t="inlineStr">
        <is>
          <t>Процессоры (CPU) для серверов</t>
        </is>
      </c>
      <c r="B1242" s="2" t="inlineStr">
        <is>
          <t>Intel</t>
        </is>
      </c>
      <c r="C1242" s="2" t="inlineStr">
        <is>
          <t>PK8071305082100</t>
        </is>
      </c>
      <c r="D1242" s="2" t="inlineStr">
        <is>
          <t>Центральный Процессор Intel Xeon W5-3425 12 Cores, 24 Threads, 3.2/4.6GHz, 30M, DDR5-4800, 2S, 270W OEM</t>
        </is>
      </c>
      <c r="E1242" s="2">
        <v>14</v>
      </c>
      <c r="F1242" s="2">
        <v>14</v>
      </c>
      <c r="H1242" s="2">
        <v>1835</v>
      </c>
      <c r="I1242" s="2" t="inlineStr">
        <is>
          <t>$</t>
        </is>
      </c>
      <c r="J1242" s="2">
        <f>HYPERLINK("https://app.astro.lead-studio.pro/product/72e309ca-2b04-4b76-acbe-ac9a4f5a761e")</f>
      </c>
    </row>
    <row r="1243" spans="1:10" customHeight="0">
      <c r="A1243" s="2" t="inlineStr">
        <is>
          <t>Процессоры (CPU) для серверов</t>
        </is>
      </c>
      <c r="B1243" s="2" t="inlineStr">
        <is>
          <t>Intel</t>
        </is>
      </c>
      <c r="C1243" s="2" t="inlineStr">
        <is>
          <t>PK8071305118600</t>
        </is>
      </c>
      <c r="D1243" s="2" t="inlineStr">
        <is>
          <t>Центральный Процессор Intel Xeon® Bronze 3408U 8 Cores, 8 Threads, 1.8/1.9GHz, 22.5M, DDR5-4000, 1S, 125W OEM  8 Cores, 8 Threads, 1.8/1.9GHz, 22.5M, DDR5-4000, 1S, 125W OEM</t>
        </is>
      </c>
      <c r="E1243" s="2">
        <v>1</v>
      </c>
      <c r="F1243" s="2">
        <v>1</v>
      </c>
      <c r="H1243" s="2">
        <v>425</v>
      </c>
      <c r="I1243" s="2" t="inlineStr">
        <is>
          <t>$</t>
        </is>
      </c>
      <c r="J1243" s="2">
        <f>HYPERLINK("https://app.astro.lead-studio.pro/product/09510b68-ae00-4def-9ad8-fc5febcb55d1")</f>
      </c>
    </row>
    <row r="1244" spans="1:10" customHeight="0">
      <c r="A1244" s="2" t="inlineStr">
        <is>
          <t>Процессоры (CPU) для серверов</t>
        </is>
      </c>
      <c r="B1244" s="2" t="inlineStr">
        <is>
          <t>Intel</t>
        </is>
      </c>
      <c r="C1244" s="2" t="inlineStr">
        <is>
          <t>PK8071305120201</t>
        </is>
      </c>
      <c r="D1244" s="2" t="inlineStr">
        <is>
          <t>Центральный Процессор Intel Xeon® Silver 4416+ 20 Cores, 40 Threads, 2.0/3.9GHz, 37.5M, DDR5-4000, 2S, 165W OEM</t>
        </is>
      </c>
      <c r="E1244" s="2">
        <v>1</v>
      </c>
      <c r="F1244" s="2">
        <v>1</v>
      </c>
      <c r="H1244" s="2">
        <v>1259</v>
      </c>
      <c r="I1244" s="2" t="inlineStr">
        <is>
          <t>$</t>
        </is>
      </c>
      <c r="J1244" s="2">
        <f>HYPERLINK("https://app.astro.lead-studio.pro/product/3dd99034-fc5e-4841-8797-4c1c27ada1f9")</f>
      </c>
    </row>
    <row r="1245" spans="1:10" customHeight="0">
      <c r="A1245" s="2" t="inlineStr">
        <is>
          <t>Процессоры (CPU) для серверов</t>
        </is>
      </c>
      <c r="B1245" s="2" t="inlineStr">
        <is>
          <t>Intel</t>
        </is>
      </c>
      <c r="C1245" s="2" t="inlineStr">
        <is>
          <t>PK8071305120301</t>
        </is>
      </c>
      <c r="D1245" s="2" t="inlineStr">
        <is>
          <t>Центральный Процессор Intel Xeon® Gold 5418Y  </t>
        </is>
      </c>
      <c r="E1245" s="2">
        <v>2</v>
      </c>
      <c r="F1245" s="2">
        <v>2</v>
      </c>
      <c r="H1245" s="2">
        <v>1626</v>
      </c>
      <c r="I1245" s="2" t="inlineStr">
        <is>
          <t>$</t>
        </is>
      </c>
      <c r="J1245" s="2">
        <f>HYPERLINK("https://app.astro.lead-studio.pro/product/6c1f65ff-ef65-44e2-953c-45bf9f62262c")</f>
      </c>
    </row>
    <row r="1246" spans="1:10" customHeight="0">
      <c r="A1246" s="2" t="inlineStr">
        <is>
          <t>Процессоры (CPU) для серверов</t>
        </is>
      </c>
      <c r="B1246" s="2" t="inlineStr">
        <is>
          <t>Intel</t>
        </is>
      </c>
      <c r="C1246" s="2" t="inlineStr">
        <is>
          <t>PK8071305120500</t>
        </is>
      </c>
      <c r="D1246" s="2" t="inlineStr">
        <is>
          <t>Центральный Процессор Intel Xeon® Gold 6442Y  24 Cores, 48 Threads, 2.6/4GHz, 60M, DDR5-4400, 2S, 225W OEM</t>
        </is>
      </c>
      <c r="E1246" s="2">
        <v>10</v>
      </c>
      <c r="F1246" s="2">
        <v>10</v>
      </c>
      <c r="H1246" s="2">
        <v>2808</v>
      </c>
      <c r="I1246" s="2" t="inlineStr">
        <is>
          <t>$</t>
        </is>
      </c>
      <c r="J1246" s="2">
        <f>HYPERLINK("https://app.astro.lead-studio.pro/product/37a6cf0e-3142-49c4-8cf2-3881c6cf6d55")</f>
      </c>
    </row>
    <row r="1247" spans="1:10" customHeight="0">
      <c r="A1247" s="2" t="inlineStr">
        <is>
          <t>Процессоры (CPU) для серверов</t>
        </is>
      </c>
      <c r="B1247" s="2" t="inlineStr">
        <is>
          <t>Intel</t>
        </is>
      </c>
      <c r="C1247" s="2" t="inlineStr">
        <is>
          <t>PK8071305120600</t>
        </is>
      </c>
      <c r="D1247" s="2" t="inlineStr">
        <is>
          <t>Центральный Процессор Intel Xeon® Gold 5420+  </t>
        </is>
      </c>
      <c r="E1247" s="2">
        <v>8</v>
      </c>
      <c r="F1247" s="2">
        <v>8</v>
      </c>
      <c r="H1247" s="2">
        <v>2087</v>
      </c>
      <c r="I1247" s="2" t="inlineStr">
        <is>
          <t>$</t>
        </is>
      </c>
      <c r="J1247" s="2">
        <f>HYPERLINK("https://app.astro.lead-studio.pro/product/d242e3fa-db59-4983-a9b1-6a6d5b387580")</f>
      </c>
    </row>
    <row r="1248" spans="1:10" customHeight="0">
      <c r="A1248" s="2" t="inlineStr">
        <is>
          <t>Процессоры (CPU) для серверов</t>
        </is>
      </c>
      <c r="B1248" s="2" t="inlineStr">
        <is>
          <t>Intel</t>
        </is>
      </c>
      <c r="C1248" s="2" t="inlineStr">
        <is>
          <t>PK8071305120802</t>
        </is>
      </c>
      <c r="D1248" s="2" t="inlineStr">
        <is>
          <t>Центральный Процессор Intel Xeon® Gold 6448Y  </t>
        </is>
      </c>
      <c r="E1248" s="2">
        <v>5</v>
      </c>
      <c r="F1248" s="2">
        <v>5</v>
      </c>
      <c r="H1248" s="2">
        <v>3678</v>
      </c>
      <c r="I1248" s="2" t="inlineStr">
        <is>
          <t>$</t>
        </is>
      </c>
      <c r="J1248" s="2">
        <f>HYPERLINK("https://app.astro.lead-studio.pro/product/91a1e9a7-a800-4207-af8d-c18508117192")</f>
      </c>
    </row>
    <row r="1249" spans="1:10" customHeight="0">
      <c r="A1249" s="2" t="inlineStr">
        <is>
          <t>Процессоры (CPU) для серверов</t>
        </is>
      </c>
      <c r="B1249" s="2" t="inlineStr">
        <is>
          <t>Intel</t>
        </is>
      </c>
      <c r="C1249" s="2" t="inlineStr">
        <is>
          <t>PK8071305122001</t>
        </is>
      </c>
      <c r="D1249" s="2" t="inlineStr">
        <is>
          <t>Центральный Процессор Intel Xeon® Gold 6421N  </t>
        </is>
      </c>
      <c r="E1249" s="2">
        <v>10</v>
      </c>
      <c r="F1249" s="2">
        <v>10</v>
      </c>
      <c r="H1249" s="2">
        <v>2675</v>
      </c>
      <c r="I1249" s="2" t="inlineStr">
        <is>
          <t>$</t>
        </is>
      </c>
      <c r="J1249" s="2">
        <f>HYPERLINK("https://app.astro.lead-studio.pro/product/7a090e88-4a7f-412f-8b64-efe83a248105")</f>
      </c>
    </row>
    <row r="1250" spans="1:10" customHeight="0">
      <c r="A1250" s="2" t="inlineStr">
        <is>
          <t>Процессоры (CPU) для серверов</t>
        </is>
      </c>
      <c r="B1250" s="2" t="inlineStr">
        <is>
          <t>Intel</t>
        </is>
      </c>
      <c r="C1250" s="2" t="inlineStr">
        <is>
          <t>PK8071305122101</t>
        </is>
      </c>
      <c r="D1250" s="2" t="inlineStr">
        <is>
          <t>Центральный Процессор Intel Xeon® Gold 6438N  </t>
        </is>
      </c>
      <c r="E1250" s="2">
        <v>4</v>
      </c>
      <c r="F1250" s="2">
        <v>4</v>
      </c>
      <c r="H1250" s="2">
        <v>4153</v>
      </c>
      <c r="I1250" s="2" t="inlineStr">
        <is>
          <t>$</t>
        </is>
      </c>
      <c r="J1250" s="2">
        <f>HYPERLINK("https://app.astro.lead-studio.pro/product/069a68d2-8cf4-45f3-bf40-609f1d3fd792")</f>
      </c>
    </row>
    <row r="1251" spans="1:10" customHeight="0">
      <c r="A1251" s="2" t="inlineStr">
        <is>
          <t>Процессоры (CPU) для серверов</t>
        </is>
      </c>
      <c r="B1251" s="2" t="inlineStr">
        <is>
          <t>Intel</t>
        </is>
      </c>
      <c r="C1251" s="2" t="inlineStr">
        <is>
          <t>PK8072205499600</t>
        </is>
      </c>
      <c r="D1251" s="2" t="inlineStr">
        <is>
          <t>Центральный Процессор Intel Xeon® Silver 4514Y 16 Cores, 32 Threads, 2.0/3.4GHz, 30M, DDR5-4400, 2S, 150W OEM</t>
        </is>
      </c>
      <c r="E1251" s="2">
        <v>2</v>
      </c>
      <c r="F1251" s="2">
        <v>2</v>
      </c>
      <c r="H1251" s="2">
        <v>1140</v>
      </c>
      <c r="I1251" s="2" t="inlineStr">
        <is>
          <t>$</t>
        </is>
      </c>
      <c r="J1251" s="2">
        <f>HYPERLINK("https://app.astro.lead-studio.pro/product/bdaf4557-e1ce-4ed5-b8be-bda0e7d02e4e")</f>
      </c>
    </row>
    <row r="1252" spans="1:10" customHeight="0">
      <c r="A1252" s="2" t="inlineStr">
        <is>
          <t>Процессоры (CPU) для серверов</t>
        </is>
      </c>
      <c r="B1252" s="2" t="inlineStr">
        <is>
          <t>Intel</t>
        </is>
      </c>
      <c r="C1252" s="2" t="inlineStr">
        <is>
          <t>PK8072205499700</t>
        </is>
      </c>
      <c r="D1252" s="2" t="inlineStr">
        <is>
          <t>Центральный Процессор Intel Xeon® Silver 4516Y+ 24 Cores, 48 Threads, 2.2/3.7GHz, 45M, DDR5-4400, 2S, 185W OEM</t>
        </is>
      </c>
      <c r="E1252" s="2">
        <v>10</v>
      </c>
      <c r="F1252" s="2">
        <v>10</v>
      </c>
      <c r="H1252" s="2">
        <v>1864</v>
      </c>
      <c r="I1252" s="2" t="inlineStr">
        <is>
          <t>$</t>
        </is>
      </c>
      <c r="J1252" s="2">
        <f>HYPERLINK("https://app.astro.lead-studio.pro/product/5b9db969-fd0e-4be2-909b-6c2cf23d0143")</f>
      </c>
    </row>
    <row r="1253" spans="1:10" customHeight="0">
      <c r="A1253" s="2" t="inlineStr">
        <is>
          <t>Процессоры (CPU) для серверов</t>
        </is>
      </c>
      <c r="B1253" s="2" t="inlineStr">
        <is>
          <t>Intel</t>
        </is>
      </c>
      <c r="C1253" s="2" t="inlineStr">
        <is>
          <t>PK8072205499800</t>
        </is>
      </c>
      <c r="D1253" s="2" t="inlineStr">
        <is>
          <t>Центральный Процессор Intel Xeon® Gold 5520+ 28 Cores, 56 Threads, 2.2/4.0GHz, 52.5M, DDR5-4800, 2S, 205W OEM</t>
        </is>
      </c>
      <c r="E1253" s="2">
        <v>5</v>
      </c>
      <c r="F1253" s="2">
        <v>5</v>
      </c>
      <c r="H1253" s="2">
        <v>2299</v>
      </c>
      <c r="I1253" s="2" t="inlineStr">
        <is>
          <t>$</t>
        </is>
      </c>
      <c r="J1253" s="2">
        <f>HYPERLINK("https://app.astro.lead-studio.pro/product/96996c08-7650-4e66-af3f-09059d5905c3")</f>
      </c>
    </row>
    <row r="1254" spans="1:10" customHeight="0">
      <c r="A1254" s="2" t="inlineStr">
        <is>
          <t>Процессоры (CPU) для серверов</t>
        </is>
      </c>
      <c r="B1254" s="2" t="inlineStr">
        <is>
          <t>Intel</t>
        </is>
      </c>
      <c r="C1254" s="2" t="inlineStr">
        <is>
          <t>PK8072205500100</t>
        </is>
      </c>
      <c r="D1254" s="2" t="inlineStr">
        <is>
          <t>Центральный Процессор Intel Xeon® Gold 6542Y 24 Cores, 48 Threads, 2.9/4.1GHz, 60M, DDR5-4800, 2S, 250W OEM</t>
        </is>
      </c>
      <c r="E1254" s="2">
        <v>4</v>
      </c>
      <c r="F1254" s="2">
        <v>4</v>
      </c>
      <c r="H1254" s="2">
        <v>4119</v>
      </c>
      <c r="I1254" s="2" t="inlineStr">
        <is>
          <t>$</t>
        </is>
      </c>
      <c r="J1254" s="2">
        <f>HYPERLINK("https://app.astro.lead-studio.pro/product/cbe3f5e0-7d88-4976-98b0-243732ed7487")</f>
      </c>
    </row>
    <row r="1255" spans="1:10" customHeight="0">
      <c r="A1255" s="2" t="inlineStr">
        <is>
          <t>Рельсы (для серверов)</t>
        </is>
      </c>
      <c r="B1255" s="2" t="inlineStr">
        <is>
          <t>AIC</t>
        </is>
      </c>
      <c r="C1255" s="2" t="inlineStr">
        <is>
          <t>H5533S100002</t>
        </is>
      </c>
      <c r="D1255" s="2" t="inlineStr">
        <is>
          <t>Рельсы AIC H5533S100002 H544JZC000-MA00010 Комплект направляющих AIC H5533S100002 Toolless Rail Kit for J4060-01 / 435mm Rail(for 1.2M Rack use, can use cable arm)</t>
        </is>
      </c>
      <c r="E1255" s="2">
        <v>2</v>
      </c>
      <c r="F1255" s="2">
        <v>2</v>
      </c>
      <c r="H1255" s="2">
        <v>427</v>
      </c>
      <c r="I1255" s="2" t="inlineStr">
        <is>
          <t>$</t>
        </is>
      </c>
      <c r="J1255" s="2">
        <f>HYPERLINK("https://app.astro.lead-studio.pro/product/58b9353c-c039-4f0c-a67f-98e802793f85")</f>
      </c>
    </row>
    <row r="1256" spans="1:10" customHeight="0">
      <c r="A1256" s="2" t="inlineStr">
        <is>
          <t>Рельсы (для серверов)</t>
        </is>
      </c>
      <c r="B1256" s="2" t="inlineStr">
        <is>
          <t>QNAP</t>
        </is>
      </c>
      <c r="C1256" s="2" t="inlineStr">
        <is>
          <t>RAIL-A02-90</t>
        </is>
      </c>
      <c r="D1256" s="2" t="inlineStr">
        <is>
          <t>Рельсы QNAP RAIL-A02-90 </t>
        </is>
      </c>
      <c r="E1256" s="2">
        <v>2</v>
      </c>
      <c r="F1256" s="2">
        <v>2</v>
      </c>
      <c r="H1256" s="2">
        <v>478</v>
      </c>
      <c r="I1256" s="2" t="inlineStr">
        <is>
          <t>$</t>
        </is>
      </c>
      <c r="J1256" s="2">
        <f>HYPERLINK("https://app.astro.lead-studio.pro/product/e3ab399f-0abd-454e-83c7-5e9504f17684")</f>
      </c>
    </row>
    <row r="1257" spans="1:10" customHeight="0">
      <c r="A1257" s="2" t="inlineStr">
        <is>
          <t>Рэковые корпуса</t>
        </is>
      </c>
      <c r="B1257" s="2" t="inlineStr">
        <is>
          <t>In-Win</t>
        </is>
      </c>
      <c r="C1257" s="2" t="inlineStr">
        <is>
          <t>6184169</t>
        </is>
      </c>
      <c r="D1257" s="2" t="inlineStr">
        <is>
          <t>Корпус IW-RS212-07 OCULINK BP 800W*2/PDB/FAN 8038mm*4/OCUlink*4 BP/rear 2.5" HDD module(12G)/28»RAIL/power cord*2</t>
        </is>
      </c>
      <c r="E1257" s="2">
        <v>1</v>
      </c>
      <c r="F1257" s="2">
        <v>1</v>
      </c>
      <c r="H1257" s="2">
        <v>1674</v>
      </c>
      <c r="I1257" s="2" t="inlineStr">
        <is>
          <t>$</t>
        </is>
      </c>
      <c r="J1257" s="2">
        <f>HYPERLINK("https://app.astro.lead-studio.pro/product/04192aea-88be-4c87-97f3-9eebc769077a")</f>
      </c>
    </row>
    <row r="1258" spans="1:10" customHeight="0">
      <c r="A1258" s="2" t="inlineStr">
        <is>
          <t>Рэковые корпуса</t>
        </is>
      </c>
      <c r="B1258" s="2" t="inlineStr">
        <is>
          <t>In-Win</t>
        </is>
      </c>
      <c r="C1258" s="2" t="inlineStr">
        <is>
          <t>6184171</t>
        </is>
      </c>
      <c r="D1258" s="2" t="inlineStr">
        <is>
          <t>Корпус IW-RS224-07 SLIMSAS BP 1200W*2/PDB/FAN 8038mm*4/ SLIMSAS*8 + SAS3 expander BP + rear 2.5" HDD module, tray with GRAY color without NVMe symbol mark/28"RAIL/power cord*2</t>
        </is>
      </c>
      <c r="E1258" s="2">
        <v>6</v>
      </c>
      <c r="F1258" s="2">
        <v>6</v>
      </c>
      <c r="H1258" s="2">
        <v>1898</v>
      </c>
      <c r="I1258" s="2" t="inlineStr">
        <is>
          <t>$</t>
        </is>
      </c>
      <c r="J1258" s="2">
        <f>HYPERLINK("https://app.astro.lead-studio.pro/product/803a035c-3177-4e8d-9477-dd944972495e")</f>
      </c>
    </row>
    <row r="1259" spans="1:10" customHeight="0">
      <c r="A1259" s="2" t="inlineStr">
        <is>
          <t>Рэковые корпуса</t>
        </is>
      </c>
      <c r="B1259" s="2" t="inlineStr">
        <is>
          <t>In-Win</t>
        </is>
      </c>
      <c r="C1259" s="2" t="inlineStr">
        <is>
          <t>6184172</t>
        </is>
      </c>
      <c r="D1259" s="2" t="inlineStr">
        <is>
          <t>Корпус IW-RS224-07 OCULINK BP 800W*2/PDB/FAN 8038mm*4/ OCUlink*8 + SAS3 expander BP + rear 2.5" HDD module , tray with GRAY color without NVMe symbol mark/28"RAIL/power cord*2</t>
        </is>
      </c>
      <c r="E1259" s="2">
        <v>4</v>
      </c>
      <c r="F1259" s="2">
        <v>4</v>
      </c>
      <c r="H1259" s="2">
        <v>1715</v>
      </c>
      <c r="I1259" s="2" t="inlineStr">
        <is>
          <t>$</t>
        </is>
      </c>
      <c r="J1259" s="2">
        <f>HYPERLINK("https://app.astro.lead-studio.pro/product/f0fc6361-5102-4351-b723-1018dc866ef9")</f>
      </c>
    </row>
    <row r="1260" spans="1:10" customHeight="0">
      <c r="A1260" s="2" t="inlineStr">
        <is>
          <t>Рэковые корпуса</t>
        </is>
      </c>
      <c r="B1260" s="2" t="inlineStr">
        <is>
          <t>In-Win</t>
        </is>
      </c>
      <c r="C1260" s="2" t="inlineStr">
        <is>
          <t>6190442</t>
        </is>
      </c>
      <c r="D1260" s="2" t="inlineStr">
        <is>
          <t>Корпус In-Win IW-RS104-07 Single 650w Acbel/FAN 4056mm*6/SLIMSAS*4 BP)/2.5"/3.5" hot-swap HDD tray (gray color)*4/28"RAIL/power cord*2/I/O shield universal/ Riser Card for 1Uxx-07 series , PCIe Gen 3 x 16, left-facing 90degree</t>
        </is>
      </c>
      <c r="E1260" s="2">
        <v>1</v>
      </c>
      <c r="F1260" s="2">
        <v>1</v>
      </c>
      <c r="H1260" s="2">
        <v>745</v>
      </c>
      <c r="I1260" s="2" t="inlineStr">
        <is>
          <t>$</t>
        </is>
      </c>
      <c r="J1260" s="2">
        <f>HYPERLINK("https://app.astro.lead-studio.pro/product/24fbbca4-4a3c-4f25-86b5-bd08d3d9c9a1")</f>
      </c>
    </row>
    <row r="1261" spans="1:10" customHeight="0">
      <c r="A1261" s="2" t="inlineStr">
        <is>
          <t>Рэковые корпуса</t>
        </is>
      </c>
      <c r="B1261" s="2" t="inlineStr">
        <is>
          <t>In-Win</t>
        </is>
      </c>
      <c r="C1261" s="2" t="inlineStr">
        <is>
          <t>6190449</t>
        </is>
      </c>
      <c r="D1261" s="2" t="inlineStr">
        <is>
          <t>Корпус In-Win IW-RS104-07 2*750W, AcBel R1BA2751A, with UL62368*2/FAN 4056mm*6/SLIMSAS*4 BP)/2.5"/3.5" hot-swap HDD tray (gray color)*4/28"RAIL/power cord*2/I/O shield universal/ Riser Card for 1Uxx-07 series , PCIe Gen 3 x 16, left-facing 90degree</t>
        </is>
      </c>
      <c r="E1261" s="2">
        <v>1</v>
      </c>
      <c r="F1261" s="2">
        <v>1</v>
      </c>
      <c r="H1261" s="2">
        <v>1172</v>
      </c>
      <c r="I1261" s="2" t="inlineStr">
        <is>
          <t>$</t>
        </is>
      </c>
      <c r="J1261" s="2">
        <f>HYPERLINK("https://app.astro.lead-studio.pro/product/36ec5530-5506-487a-9a73-ec5bf022c6d8")</f>
      </c>
    </row>
    <row r="1262" spans="1:10" customHeight="0">
      <c r="A1262" s="2" t="inlineStr">
        <is>
          <t>Рэковые корпуса</t>
        </is>
      </c>
      <c r="B1262" s="2" t="inlineStr">
        <is>
          <t>In-Win</t>
        </is>
      </c>
      <c r="C1262" s="2" t="inlineStr">
        <is>
          <t>6190453</t>
        </is>
      </c>
      <c r="D1262" s="2" t="inlineStr">
        <is>
          <t>Корпус In-Win IW-RS108-07 Single 650w Acbel, AcBel R1BA2751A, with UL62368*2/FAN 4056mm*6/SLIMSAS*4 BP)/2.5"/3.5" hot-swap HDD tray (gray color)*4/28"RAIL/power cord*2/I/O shield universal/ Riser Card for 1Uxx-07 series , PCIe Gen 3 x 16, left-facing 90degree</t>
        </is>
      </c>
      <c r="E1262" s="2">
        <v>5</v>
      </c>
      <c r="F1262" s="2">
        <v>5</v>
      </c>
      <c r="H1262" s="2">
        <v>879</v>
      </c>
      <c r="I1262" s="2" t="inlineStr">
        <is>
          <t>$</t>
        </is>
      </c>
      <c r="J1262" s="2">
        <f>HYPERLINK("https://app.astro.lead-studio.pro/product/2008f2b4-c8a8-4df9-8555-0848372f37a8")</f>
      </c>
    </row>
    <row r="1263" spans="1:10" customHeight="0">
      <c r="A1263" s="2" t="inlineStr">
        <is>
          <t>Рэковые корпуса</t>
        </is>
      </c>
      <c r="B1263" s="2" t="inlineStr">
        <is>
          <t>In-Win</t>
        </is>
      </c>
      <c r="C1263" s="2" t="inlineStr">
        <is>
          <t>6190459</t>
        </is>
      </c>
      <c r="D1263" s="2" t="inlineStr">
        <is>
          <t>Корпус In-Win IW-RS108-07  2*750W, AcBel R1BA2751A, with UL62368*2/PDB AcBel R1BU4751A /FAN 4056mm*6/RS104-07(3.5"/2.5") OCULINK*4 BP, RS108-07 Slim 4bay BP/2.5"/3.5" hot-swap HDD tray (gray color)*4, 7mm HDD tray*4/28"RAIL/power cord*2/I/O shield universal/ Riser Card for 1Uxx07</t>
        </is>
      </c>
      <c r="E1263" s="2">
        <v>3</v>
      </c>
      <c r="F1263" s="2">
        <v>3</v>
      </c>
      <c r="H1263" s="2">
        <v>1289</v>
      </c>
      <c r="I1263" s="2" t="inlineStr">
        <is>
          <t>$</t>
        </is>
      </c>
      <c r="J1263" s="2">
        <f>HYPERLINK("https://app.astro.lead-studio.pro/product/8be68ab6-ce72-4dfb-92c6-b15c13129a31")</f>
      </c>
    </row>
    <row r="1264" spans="1:10" customHeight="0">
      <c r="A1264" s="2" t="inlineStr">
        <is>
          <t>Рэковые корпуса</t>
        </is>
      </c>
      <c r="B1264" s="2" t="inlineStr">
        <is>
          <t>In-Win</t>
        </is>
      </c>
      <c r="C1264" s="2" t="inlineStr">
        <is>
          <t>6190461</t>
        </is>
      </c>
      <c r="D1264" s="2" t="inlineStr">
        <is>
          <t>Корпус In-Win IW-RS110-07 Single 650w Acbel /FAN 4056mm*6/SLIMSAS *10 BP/2.5"/3.5" hot-swap HDD tray (gray color)*10/EAR SET - ear+plastic holder/handle/28"RAIL/power cord*2/I/O shield universal/ Riser Card for 1Uxx-07 series, PCIe Gen 3 x 16, left-facing 90degree</t>
        </is>
      </c>
      <c r="E1264" s="2">
        <v>5</v>
      </c>
      <c r="F1264" s="2">
        <v>5</v>
      </c>
      <c r="H1264" s="2">
        <v>855</v>
      </c>
      <c r="I1264" s="2" t="inlineStr">
        <is>
          <t>$</t>
        </is>
      </c>
      <c r="J1264" s="2">
        <f>HYPERLINK("https://app.astro.lead-studio.pro/product/8f1f9582-b7c2-486f-a14c-36132b2889ee")</f>
      </c>
    </row>
    <row r="1265" spans="1:10" customHeight="0">
      <c r="A1265" s="2" t="inlineStr">
        <is>
          <t>Рэковые корпуса</t>
        </is>
      </c>
      <c r="B1265" s="2" t="inlineStr">
        <is>
          <t>In-Win</t>
        </is>
      </c>
      <c r="C1265" s="2" t="inlineStr">
        <is>
          <t>6190462</t>
        </is>
      </c>
      <c r="D1265" s="2" t="inlineStr">
        <is>
          <t>Корпус In-Win IW-RS110-07  2*750W, AcBel R1BA2751A, with UL62368*2/PDB AcBel R1BU4751A/FAN 4056mm*6/SLIMSAS *10 BP/2.5"/3.5" hot-swap HDD tray (gray color) *10/EAR SET - ear+plastic holder/handle/28"RAIL/power cord*2/I/O shield universal/ Riser Card for 1Uxx-07series, PCIe Gen3 x 1</t>
        </is>
      </c>
      <c r="E1265" s="2">
        <v>3</v>
      </c>
      <c r="F1265" s="2">
        <v>3</v>
      </c>
      <c r="H1265" s="2">
        <v>1281</v>
      </c>
      <c r="I1265" s="2" t="inlineStr">
        <is>
          <t>$</t>
        </is>
      </c>
      <c r="J1265" s="2">
        <f>HYPERLINK("https://app.astro.lead-studio.pro/product/acc5b220-b99b-4e8e-bd8f-1e182d5972a2")</f>
      </c>
    </row>
    <row r="1266" spans="1:10" customHeight="0">
      <c r="A1266" s="2" t="inlineStr">
        <is>
          <t>Рэковые корпуса</t>
        </is>
      </c>
      <c r="B1266" s="2" t="inlineStr">
        <is>
          <t>In-Win</t>
        </is>
      </c>
      <c r="C1266" s="2" t="inlineStr">
        <is>
          <t>6197054</t>
        </is>
      </c>
      <c r="D1266" s="2" t="inlineStr">
        <is>
          <t>Корпус In-Win IW-RS104-07 Single 650w Acbel/FAN 4056mm*6/SLIMSAS*4 BP)/2.5"/3.5" hot-swap HDD tray (gray color)*4/28"RAIL/power cord*2/I/O shield universal/ Riser Card for 1Uxx-07 series , PCIe Gen 3 x 16, left-facing 90degree</t>
        </is>
      </c>
      <c r="E1266" s="2">
        <v>5</v>
      </c>
      <c r="F1266" s="2">
        <v>5</v>
      </c>
      <c r="H1266" s="2">
        <v>772</v>
      </c>
      <c r="I1266" s="2" t="inlineStr">
        <is>
          <t>$</t>
        </is>
      </c>
      <c r="J1266" s="2">
        <f>HYPERLINK("https://app.astro.lead-studio.pro/product/318d5867-799f-4c08-a05e-f855a8a087f9")</f>
      </c>
    </row>
    <row r="1267" spans="1:10" customHeight="0">
      <c r="A1267" s="2" t="inlineStr">
        <is>
          <t>Рэковые корпуса</t>
        </is>
      </c>
      <c r="B1267" s="2" t="inlineStr">
        <is>
          <t>Ablecom</t>
        </is>
      </c>
      <c r="C1267" s="2" t="inlineStr">
        <is>
          <t>A0-CSR2537B100T1</t>
        </is>
      </c>
      <c r="D1267" s="2" t="inlineStr">
        <is>
          <t>Корпус Ablecom CS-R25-37P</t>
        </is>
      </c>
      <c r="E1267" s="2">
        <v>1</v>
      </c>
      <c r="F1267" s="2">
        <v>1</v>
      </c>
      <c r="H1267" s="2">
        <v>981</v>
      </c>
      <c r="I1267" s="2" t="inlineStr">
        <is>
          <t>$</t>
        </is>
      </c>
      <c r="J1267" s="2">
        <f>HYPERLINK("https://app.astro.lead-studio.pro/product/2ba0d9d2-106d-4912-919e-5b2d5272cc70")</f>
      </c>
    </row>
    <row r="1268" spans="1:10" customHeight="0">
      <c r="A1268" s="2" t="inlineStr">
        <is>
          <t>Рэковые корпуса</t>
        </is>
      </c>
      <c r="B1268" s="2" t="inlineStr">
        <is>
          <t>Ablecom</t>
        </is>
      </c>
      <c r="C1268" s="2" t="inlineStr">
        <is>
          <t>A0-CSR2615XX00T1</t>
        </is>
      </c>
      <c r="D1268" s="2" t="inlineStr">
        <is>
          <t>Корпус Ablecom CS-R26-15P, PSU: CRPS(1+1), Acbel: 800W, HDD Tray: 12, 12-port 12Gbps SAS/SATA to 3-port Mini-SAS HD CS-R26-15P, PSU: CRPS(1+1), 12 drive trays , shot depth body, Backplane: 12-port 12Gbps SAS/SATA to 3-port Mini-SAS HD with SGPIO</t>
        </is>
      </c>
      <c r="E1268" s="2">
        <v>10</v>
      </c>
      <c r="F1268" s="2">
        <v>10</v>
      </c>
      <c r="H1268" s="2">
        <v>1087</v>
      </c>
      <c r="I1268" s="2" t="inlineStr">
        <is>
          <t>$</t>
        </is>
      </c>
      <c r="J1268" s="2">
        <f>HYPERLINK("https://app.astro.lead-studio.pro/product/6e639539-58c4-4311-8d41-77305b2d350f")</f>
      </c>
    </row>
    <row r="1269" spans="1:10" customHeight="0">
      <c r="A1269" s="2" t="inlineStr">
        <is>
          <t>Рэковые корпуса</t>
        </is>
      </c>
      <c r="B1269" s="2" t="inlineStr">
        <is>
          <t>Ablecom</t>
        </is>
      </c>
      <c r="C1269" s="2" t="inlineStr">
        <is>
          <t>AD-CSE0001B101T1</t>
        </is>
      </c>
      <c r="D1269" s="2" t="inlineStr">
        <is>
          <t>Корпус Ablecom CS-R36-01P, PSU: CRPS(1+1), 920W, HDD Tray: 16, 16-port 6 Gbps SAS/SATA to SATA ; Slide Rail *1 set CS-R36-01P, PSU: CRPS(1+1) 900W (change to 920W), HDD Tray: 16 drive bays, Backplane: 16-port 6 Gbps SAS/SATA to SATA ; Slide Rail * 1 set</t>
        </is>
      </c>
      <c r="E1269" s="2">
        <v>10</v>
      </c>
      <c r="F1269" s="2">
        <v>10</v>
      </c>
      <c r="H1269" s="2">
        <v>1790</v>
      </c>
      <c r="I1269" s="2" t="inlineStr">
        <is>
          <t>$</t>
        </is>
      </c>
      <c r="J1269" s="2">
        <f>HYPERLINK("https://app.astro.lead-studio.pro/product/d401c3a6-0185-4dd6-92ed-154bf9399b38")</f>
      </c>
    </row>
    <row r="1270" spans="1:10" customHeight="0">
      <c r="A1270" s="2" t="inlineStr">
        <is>
          <t>Рэковые корпуса</t>
        </is>
      </c>
      <c r="B1270" s="2" t="inlineStr">
        <is>
          <t>SuperMicro</t>
        </is>
      </c>
      <c r="C1270" s="2" t="inlineStr">
        <is>
          <t>CSE-216BE1C4-R1K23LPB</t>
        </is>
      </c>
      <c r="D1270" s="2" t="inlineStr">
        <is>
          <t>Корпус SuperMicro CSE-216BE1C4-R1K23LPB 2U, LP, 20x 2.5-inch SAS3/SATA3 HDD/SSD and 4x NVMe/SAS3/SATA3 storage devices, Expander, 2x 1200W (269075)</t>
        </is>
      </c>
      <c r="E1270" s="2">
        <v>4</v>
      </c>
      <c r="F1270" s="2">
        <v>4</v>
      </c>
      <c r="H1270" s="2">
        <v>3326</v>
      </c>
      <c r="I1270" s="2" t="inlineStr">
        <is>
          <t>$</t>
        </is>
      </c>
      <c r="J1270" s="2">
        <f>HYPERLINK("https://app.astro.lead-studio.pro/product/a0ff1a49-c351-4d1f-87fd-6549c931dee4")</f>
      </c>
    </row>
    <row r="1271" spans="1:10" customHeight="0">
      <c r="A1271" s="2" t="inlineStr">
        <is>
          <t>Рэковые корпуса</t>
        </is>
      </c>
      <c r="B1271" s="2" t="inlineStr">
        <is>
          <t>SuperMicro</t>
        </is>
      </c>
      <c r="C1271" s="2" t="inlineStr">
        <is>
          <t>CSE-216BE1C-R920LPB</t>
        </is>
      </c>
      <c r="D1271" s="2" t="inlineStr">
        <is>
          <t>Корпус SuperMicro CSE-216BE1C-R920LPB Black 2U SC216B SAS3 LP W/1 Expander 920W</t>
        </is>
      </c>
      <c r="E1271" s="2">
        <v>4</v>
      </c>
      <c r="F1271" s="2">
        <v>4</v>
      </c>
      <c r="H1271" s="2">
        <v>2258</v>
      </c>
      <c r="I1271" s="2" t="inlineStr">
        <is>
          <t>$</t>
        </is>
      </c>
      <c r="J1271" s="2">
        <f>HYPERLINK("https://app.astro.lead-studio.pro/product/186eafb1-df2c-48ec-9de8-b66921aea68e")</f>
      </c>
    </row>
    <row r="1272" spans="1:10" customHeight="0">
      <c r="A1272" s="2" t="inlineStr">
        <is>
          <t>Рэковые корпуса</t>
        </is>
      </c>
      <c r="B1272" s="2" t="inlineStr">
        <is>
          <t>SuperMicro</t>
        </is>
      </c>
      <c r="C1272" s="2" t="inlineStr">
        <is>
          <t>CSE-216BE2C-R920LPB</t>
        </is>
      </c>
      <c r="D1272" s="2" t="inlineStr">
        <is>
          <t>Корпус SuperMicro CSE-216BE2C-R920LPB 2U, 24x 2,5" HS SAS/SATA (Dual SAS3 Expander - SFF 8643), 2x920W (80PLUS platinum).</t>
        </is>
      </c>
      <c r="E1272" s="2">
        <v>4</v>
      </c>
      <c r="F1272" s="2">
        <v>4</v>
      </c>
      <c r="H1272" s="2">
        <v>3169</v>
      </c>
      <c r="I1272" s="2" t="inlineStr">
        <is>
          <t>$</t>
        </is>
      </c>
      <c r="J1272" s="2">
        <f>HYPERLINK("https://app.astro.lead-studio.pro/product/18905362-f512-4dbf-b6df-b08a22425a4a")</f>
      </c>
    </row>
    <row r="1273" spans="1:10" customHeight="0">
      <c r="A1273" s="2" t="inlineStr">
        <is>
          <t>Рэковые корпуса</t>
        </is>
      </c>
      <c r="B1273" s="2" t="inlineStr">
        <is>
          <t>SuperMicro</t>
        </is>
      </c>
      <c r="C1273" s="2" t="inlineStr">
        <is>
          <t>CSE-514-R407W</t>
        </is>
      </c>
      <c r="D1273" s="2" t="inlineStr">
        <is>
          <t>Корпус SuperMicro CSE-514-R407W 1U SC514 Redundant Platinum 400W PWS Chassis</t>
        </is>
      </c>
      <c r="E1273" s="2">
        <v>4</v>
      </c>
      <c r="F1273" s="2">
        <v>4</v>
      </c>
      <c r="H1273" s="2">
        <v>892</v>
      </c>
      <c r="I1273" s="2" t="inlineStr">
        <is>
          <t>$</t>
        </is>
      </c>
      <c r="J1273" s="2">
        <f>HYPERLINK("https://app.astro.lead-studio.pro/product/052fdaf2-876c-4328-8576-f389be04978a")</f>
      </c>
    </row>
    <row r="1274" spans="1:10" customHeight="0">
      <c r="A1274" s="2" t="inlineStr">
        <is>
          <t>Рэковые корпуса</t>
        </is>
      </c>
      <c r="B1274" s="2" t="inlineStr">
        <is>
          <t>SuperMicro</t>
        </is>
      </c>
      <c r="C1274" s="2" t="inlineStr">
        <is>
          <t>CSE-826BAC4-R920LPB</t>
        </is>
      </c>
      <c r="D1274" s="2" t="inlineStr">
        <is>
          <t>Корпус SuperMicro CSE-826BAC4-R920LPB 2U, LP, E-ATX, 920 Вт, 8x 3.5-inch SAS3/SATA3 HDD/SSD and 4x SAS3/SATA3/NVMe, черный</t>
        </is>
      </c>
      <c r="E1274" s="2">
        <v>4</v>
      </c>
      <c r="F1274" s="2">
        <v>4</v>
      </c>
      <c r="H1274" s="2">
        <v>1941</v>
      </c>
      <c r="I1274" s="2" t="inlineStr">
        <is>
          <t>$</t>
        </is>
      </c>
      <c r="J1274" s="2">
        <f>HYPERLINK("https://app.astro.lead-studio.pro/product/230e4f7f-5339-4f19-82e6-89aa3980018c")</f>
      </c>
    </row>
    <row r="1275" spans="1:10" customHeight="0">
      <c r="A1275" s="2" t="inlineStr">
        <is>
          <t>Рэковые корпуса</t>
        </is>
      </c>
      <c r="B1275" s="2" t="inlineStr">
        <is>
          <t>SuperMicro</t>
        </is>
      </c>
      <c r="C1275" s="2" t="inlineStr">
        <is>
          <t>CSE-826BE1C-R920LPB</t>
        </is>
      </c>
      <c r="D1275" s="2" t="inlineStr">
        <is>
          <t>Корпус SuperMicro CSE-826BE1C-R920LPB 2U SC826B Chassis W/ 1 Expander, 920W, Black (158003)</t>
        </is>
      </c>
      <c r="E1275" s="2">
        <v>4</v>
      </c>
      <c r="F1275" s="2">
        <v>4</v>
      </c>
      <c r="H1275" s="2">
        <v>1918</v>
      </c>
      <c r="I1275" s="2" t="inlineStr">
        <is>
          <t>$</t>
        </is>
      </c>
      <c r="J1275" s="2">
        <f>HYPERLINK("https://app.astro.lead-studio.pro/product/209139b9-4e19-4031-93b0-01f5eecb30da")</f>
      </c>
    </row>
    <row r="1276" spans="1:10" customHeight="0">
      <c r="A1276" s="2" t="inlineStr">
        <is>
          <t>Рэковые корпуса</t>
        </is>
      </c>
      <c r="B1276" s="2" t="inlineStr">
        <is>
          <t>SuperMicro</t>
        </is>
      </c>
      <c r="C1276" s="2" t="inlineStr">
        <is>
          <t>CSE-835TQC-R1K03B</t>
        </is>
      </c>
      <c r="D1276" s="2" t="inlineStr">
        <is>
          <t>Корпус SuperMicro CSE-835TQC-R1K03B 3U 8-Port Backplane Supports 8 x 3.5" SAS3/SATA3 HDD/SSD with 2x mini SAS HD connectors,1000W Redundant High-efficiency Titanium Level Power Supplies,7x Full-height, Full-length Expansion Slots</t>
        </is>
      </c>
      <c r="E1276" s="2">
        <v>4</v>
      </c>
      <c r="F1276" s="2">
        <v>4</v>
      </c>
      <c r="H1276" s="2">
        <v>1837</v>
      </c>
      <c r="I1276" s="2" t="inlineStr">
        <is>
          <t>$</t>
        </is>
      </c>
      <c r="J1276" s="2">
        <f>HYPERLINK("https://app.astro.lead-studio.pro/product/a9d5f024-4781-42bd-817e-ed656a16e49d")</f>
      </c>
    </row>
    <row r="1277" spans="1:10" customHeight="0">
      <c r="A1277" s="2" t="inlineStr">
        <is>
          <t>Рэковые корпуса</t>
        </is>
      </c>
      <c r="B1277" s="2" t="inlineStr">
        <is>
          <t>SuperMicro</t>
        </is>
      </c>
      <c r="C1277" s="2" t="inlineStr">
        <is>
          <t>CSE-LB16AC2-R504W</t>
        </is>
      </c>
      <c r="D1277" s="2" t="inlineStr">
        <is>
          <t>Корпус SuperMicro CSE-LB16AC2-R504W</t>
        </is>
      </c>
      <c r="E1277" s="2">
        <v>4</v>
      </c>
      <c r="F1277" s="2">
        <v>4</v>
      </c>
      <c r="H1277" s="2">
        <v>823</v>
      </c>
      <c r="I1277" s="2" t="inlineStr">
        <is>
          <t>$</t>
        </is>
      </c>
      <c r="J1277" s="2">
        <f>HYPERLINK("https://app.astro.lead-studio.pro/product/bccb91ab-25c5-4846-8837-a8686221a838")</f>
      </c>
    </row>
    <row r="1278" spans="1:10" customHeight="0">
      <c r="A1278" s="2" t="inlineStr">
        <is>
          <t>Рэковые корпуса</t>
        </is>
      </c>
      <c r="B1278" s="2" t="inlineStr">
        <is>
          <t>SuperMicro</t>
        </is>
      </c>
      <c r="C1278" s="2" t="inlineStr">
        <is>
          <t>CSE-LB16AC2-R504W||bp</t>
        </is>
      </c>
      <c r="D1278" s="2" t="inlineStr">
        <is>
          <t>Корпус серверный SuperMicro Bad Pack Корпус SuperMicro CSE-LB16AC2-R504W 1U, 10 x 2.5"(tool-less) hot-swap SAS3/SATA bp</t>
        </is>
      </c>
      <c r="E1278" s="2">
        <v>1</v>
      </c>
      <c r="F1278" s="2">
        <v>1</v>
      </c>
      <c r="H1278" s="2">
        <v>808</v>
      </c>
      <c r="I1278" s="2" t="inlineStr">
        <is>
          <t>$</t>
        </is>
      </c>
      <c r="J1278" s="2">
        <f>HYPERLINK("https://app.astro.lead-studio.pro/product/18cc478b-7f08-44f3-b4a1-c0ac5666c5f7")</f>
      </c>
    </row>
    <row r="1279" spans="1:10" customHeight="0">
      <c r="A1279" s="2" t="inlineStr">
        <is>
          <t>Рэковые корпуса</t>
        </is>
      </c>
      <c r="B1279" s="2" t="inlineStr">
        <is>
          <t>Chenbro</t>
        </is>
      </c>
      <c r="C1279" s="2" t="inlineStr">
        <is>
          <t>RM13304H01*14529revB03</t>
        </is>
      </c>
      <c r="D1279" s="2" t="inlineStr">
        <is>
          <t>Корпус Chenbro RM13304H01*14529revB03</t>
        </is>
      </c>
      <c r="E1279" s="2">
        <v>10</v>
      </c>
      <c r="F1279" s="2">
        <v>10</v>
      </c>
      <c r="H1279" s="2">
        <v>799</v>
      </c>
      <c r="I1279" s="2" t="inlineStr">
        <is>
          <t>$</t>
        </is>
      </c>
      <c r="J1279" s="2">
        <f>HYPERLINK("https://app.astro.lead-studio.pro/product/1b4ecabc-e3de-4f6c-9013-d3c3e8eba936")</f>
      </c>
    </row>
    <row r="1280" spans="1:10" customHeight="0">
      <c r="A1280" s="2" t="inlineStr">
        <is>
          <t>Рэковые корпуса</t>
        </is>
      </c>
      <c r="B1280" s="2" t="inlineStr">
        <is>
          <t>Chenbro</t>
        </is>
      </c>
      <c r="C1280" s="2" t="inlineStr">
        <is>
          <t>RM13304H04*14529_</t>
        </is>
      </c>
      <c r="D1280" s="2" t="inlineStr">
        <is>
          <t>Корпус Chenbro RM13304H04*14529 1U</t>
        </is>
      </c>
      <c r="E1280" s="2">
        <v>10</v>
      </c>
      <c r="F1280" s="2">
        <v>10</v>
      </c>
      <c r="H1280" s="2">
        <v>847</v>
      </c>
      <c r="I1280" s="2" t="inlineStr">
        <is>
          <t>$</t>
        </is>
      </c>
      <c r="J1280" s="2">
        <f>HYPERLINK("https://app.astro.lead-studio.pro/product/6157fb65-99ea-499a-91b8-38ddc93ae519")</f>
      </c>
    </row>
    <row r="1281" spans="1:10" customHeight="0">
      <c r="A1281" s="2" t="inlineStr">
        <is>
          <t>Рэковые корпуса</t>
        </is>
      </c>
      <c r="B1281" s="2" t="inlineStr">
        <is>
          <t>Chenbro</t>
        </is>
      </c>
      <c r="C1281" s="2" t="inlineStr">
        <is>
          <t>RM14610H02*14451</t>
        </is>
      </c>
      <c r="D1281" s="2" t="inlineStr">
        <is>
          <t>Корпус Chenbro RM14610H02*14451 1U,21.5",2.5" 10BAYS,MINI SAS HD+LED PCB+PSU+FAN+USB 3.0 CABLE+2.5" HDD CAGE MODULE+2.5" TRAY(TOOLLESS),SINGLE(CHENBRO,SR/SK),REV.D00</t>
        </is>
      </c>
      <c r="E1281" s="2">
        <v>20</v>
      </c>
      <c r="F1281" s="2">
        <v>20</v>
      </c>
      <c r="H1281" s="2">
        <v>839</v>
      </c>
      <c r="I1281" s="2" t="inlineStr">
        <is>
          <t>$</t>
        </is>
      </c>
      <c r="J1281" s="2">
        <f>HYPERLINK("https://app.astro.lead-studio.pro/product/59de7db5-0388-4303-b80c-a35ac09d13b9")</f>
      </c>
    </row>
    <row r="1282" spans="1:10" customHeight="0">
      <c r="A1282" s="2" t="inlineStr">
        <is>
          <t>Рэковые корпуса</t>
        </is>
      </c>
      <c r="B1282" s="2" t="inlineStr">
        <is>
          <t>Chenbro</t>
        </is>
      </c>
      <c r="C1282" s="2" t="inlineStr">
        <is>
          <t>RM23804H01*15507</t>
        </is>
      </c>
      <c r="D1282" s="2" t="inlineStr">
        <is>
          <t>Корпус Chenbro RM23804H01*15507 2U,3.5" 4BAY,CRPS TYPE,BK CC1012,W/PSU+SAS,12G+3.5" TRAY+FAN+USB 3.0/LED+LOW PROFILE(EN62368)REAR WINDOW,SINGLE(CHENBRO,SR/SK)+PALLET,REV.:"A02" </t>
        </is>
      </c>
      <c r="E1282" s="2">
        <v>3</v>
      </c>
      <c r="F1282" s="2">
        <v>3</v>
      </c>
      <c r="H1282" s="2">
        <v>1113</v>
      </c>
      <c r="I1282" s="2" t="inlineStr">
        <is>
          <t>$</t>
        </is>
      </c>
      <c r="J1282" s="2">
        <f>HYPERLINK("https://app.astro.lead-studio.pro/product/a977be1f-040e-44d5-b513-b82208bb347c")</f>
      </c>
    </row>
    <row r="1283" spans="1:10" customHeight="0">
      <c r="A1283" s="2" t="inlineStr">
        <is>
          <t>Рэковые корпуса</t>
        </is>
      </c>
      <c r="B1283" s="2" t="inlineStr">
        <is>
          <t>Chenbro</t>
        </is>
      </c>
      <c r="C1283" s="2" t="inlineStr">
        <is>
          <t>RM23808H03*15139 rev.C05</t>
        </is>
      </c>
      <c r="D1283" s="2" t="inlineStr">
        <is>
          <t>Корпус Chenbro RM23808H03*15139 rev.C04</t>
        </is>
      </c>
      <c r="E1283" s="2">
        <v>10</v>
      </c>
      <c r="F1283" s="2">
        <v>10</v>
      </c>
      <c r="H1283" s="2">
        <v>843</v>
      </c>
      <c r="I1283" s="2" t="inlineStr">
        <is>
          <t>$</t>
        </is>
      </c>
      <c r="J1283" s="2">
        <f>HYPERLINK("https://app.astro.lead-studio.pro/product/caf186f6-679d-4dc6-97f4-99fcfbcf021b")</f>
      </c>
    </row>
    <row r="1284" spans="1:10" customHeight="0">
      <c r="A1284" s="2" t="inlineStr">
        <is>
          <t>Рэковые корпуса</t>
        </is>
      </c>
      <c r="B1284" s="2" t="inlineStr">
        <is>
          <t>Chenbro</t>
        </is>
      </c>
      <c r="C1284" s="2" t="inlineStr">
        <is>
          <t>RM2381202-0010A0</t>
        </is>
      </c>
      <c r="D1284" s="2" t="inlineStr">
        <is>
          <t>Корпус Chenbro RM2381202-0010A0 2U</t>
        </is>
      </c>
      <c r="E1284" s="2">
        <v>10</v>
      </c>
      <c r="F1284" s="2">
        <v>10</v>
      </c>
      <c r="H1284" s="2">
        <v>1633</v>
      </c>
      <c r="I1284" s="2" t="inlineStr">
        <is>
          <t>$</t>
        </is>
      </c>
      <c r="J1284" s="2">
        <f>HYPERLINK("https://app.astro.lead-studio.pro/product/c206929c-303b-4999-8a2c-b9554d2e9751")</f>
      </c>
    </row>
    <row r="1285" spans="1:10" customHeight="0">
      <c r="A1285" s="2" t="inlineStr">
        <is>
          <t>Рэковые корпуса</t>
        </is>
      </c>
      <c r="B1285" s="2" t="inlineStr">
        <is>
          <t>Chenbro</t>
        </is>
      </c>
      <c r="C1285" s="2" t="inlineStr">
        <is>
          <t>RM23812H01*15155</t>
        </is>
      </c>
      <c r="D1285" s="2" t="inlineStr">
        <is>
          <t>Корпус Chenbro RM23812H01*15155 2U,3.5 12BAY,CRPS,W/RPSU+MINI SAS+3.5" TRAY+2.5" 2BAY SUPPORT BRACKET+FAN+EAR BL CC8103 285C,SINGLE(CHENBRO,SR/SK)+PALLET,REV.C00</t>
        </is>
      </c>
      <c r="E1285" s="2">
        <v>10</v>
      </c>
      <c r="F1285" s="2">
        <v>10</v>
      </c>
      <c r="H1285" s="2">
        <v>1181</v>
      </c>
      <c r="I1285" s="2" t="inlineStr">
        <is>
          <t>$</t>
        </is>
      </c>
      <c r="J1285" s="2">
        <f>HYPERLINK("https://app.astro.lead-studio.pro/product/6b30124c-1c4c-4127-b190-4549c4e36613")</f>
      </c>
    </row>
    <row r="1286" spans="1:10" customHeight="0">
      <c r="A1286" s="2" t="inlineStr">
        <is>
          <t>Рэковые корпуса</t>
        </is>
      </c>
      <c r="B1286" s="2" t="inlineStr">
        <is>
          <t>Chenbro</t>
        </is>
      </c>
      <c r="C1286" s="2" t="inlineStr">
        <is>
          <t>RM23812H01*15155R||bp</t>
        </is>
      </c>
      <c r="D1286" s="2" t="inlineStr">
        <is>
          <t>Корпус Chenbro Bad Pack RM23812H01*15155 2U,3.5 12BAY,CRPS,W/RPSU+MINI SAS+3.5" TRAY+2.5" 2BAY SUPPORT BRACKET+FAN+ 2U,3.5 12BAY,CRPS,W/RPSU+MINI SAS+3.5" TRAY+2.5" 2BAY SUPPORT BRACKET+FAN+EAR BL CC8103(#285C),SINGLE(CHENBRO,SR/SK)+PALLET,REV."C00" </t>
        </is>
      </c>
      <c r="E1286" s="2">
        <v>1</v>
      </c>
      <c r="F1286" s="2">
        <v>1</v>
      </c>
      <c r="H1286" s="2">
        <v>1279</v>
      </c>
      <c r="I1286" s="2" t="inlineStr">
        <is>
          <t>$</t>
        </is>
      </c>
      <c r="J1286" s="2">
        <f>HYPERLINK("https://app.astro.lead-studio.pro/product/f10ad31e-9d74-48e8-8538-3f8052daf03a")</f>
      </c>
    </row>
    <row r="1287" spans="1:10" customHeight="0">
      <c r="A1287" s="2" t="inlineStr">
        <is>
          <t>Рэковые корпуса</t>
        </is>
      </c>
      <c r="B1287" s="2" t="inlineStr">
        <is>
          <t>Chenbro</t>
        </is>
      </c>
      <c r="C1287" s="2" t="inlineStr">
        <is>
          <t>RM23812H10*15595</t>
        </is>
      </c>
      <c r="D1287" s="2" t="inlineStr">
        <is>
          <t>Корпус Chenbro RM23812H10*15595 Chassis CHS-012S-2RU01 12x HDD SAS/SATA PASSIVE (780455)</t>
        </is>
      </c>
      <c r="E1287" s="2">
        <v>7</v>
      </c>
      <c r="F1287" s="2">
        <v>7</v>
      </c>
      <c r="H1287" s="2">
        <v>544</v>
      </c>
      <c r="I1287" s="2" t="inlineStr">
        <is>
          <t>$</t>
        </is>
      </c>
      <c r="J1287" s="2">
        <f>HYPERLINK("https://app.astro.lead-studio.pro/product/f38dffec-850d-49b7-9778-a4d07357d0f7")</f>
      </c>
    </row>
    <row r="1288" spans="1:10" customHeight="0">
      <c r="A1288" s="2" t="inlineStr">
        <is>
          <t>Рэковые корпуса</t>
        </is>
      </c>
      <c r="B1288" s="2" t="inlineStr">
        <is>
          <t>Chenbro</t>
        </is>
      </c>
      <c r="C1288" s="2" t="inlineStr">
        <is>
          <t>RM23824H01*15158</t>
        </is>
      </c>
      <c r="D1288" s="2" t="inlineStr">
        <is>
          <t>Корпус Chenbro RM23824H01*15158 2U,2.5 24BAY,CRPS,W/RPSU 1200W+MINI SAS+2.5" HDD TRAY+FAN+2.5" 2BAY SUPPORT BRACKET,SINGLE(CHENBRO,SR/SK)+PALLET,REV.B00</t>
        </is>
      </c>
      <c r="E1288" s="2">
        <v>10</v>
      </c>
      <c r="F1288" s="2">
        <v>10</v>
      </c>
      <c r="H1288" s="2">
        <v>1405</v>
      </c>
      <c r="I1288" s="2" t="inlineStr">
        <is>
          <t>$</t>
        </is>
      </c>
      <c r="J1288" s="2">
        <f>HYPERLINK("https://app.astro.lead-studio.pro/product/6432b6a8-4b2e-4b60-a18b-fb47ed93cb85")</f>
      </c>
    </row>
    <row r="1289" spans="1:10" customHeight="0">
      <c r="A1289" s="2" t="inlineStr">
        <is>
          <t>Рэковые корпуса</t>
        </is>
      </c>
      <c r="B1289" s="2" t="inlineStr">
        <is>
          <t>Chenbro</t>
        </is>
      </c>
      <c r="C1289" s="2" t="inlineStr">
        <is>
          <t>RM23923H01*13410</t>
        </is>
      </c>
      <c r="D1289" s="2" t="inlineStr">
        <is>
          <t>Корпус Chenbro RM23923H01*13410 (TP E-Class)</t>
        </is>
      </c>
      <c r="E1289" s="2">
        <v>10</v>
      </c>
      <c r="F1289" s="2">
        <v>10</v>
      </c>
      <c r="H1289" s="2">
        <v>370</v>
      </c>
      <c r="I1289" s="2" t="inlineStr">
        <is>
          <t>$</t>
        </is>
      </c>
      <c r="J1289" s="2">
        <f>HYPERLINK("https://app.astro.lead-studio.pro/product/bd28364b-d699-4a8c-a958-dfbc3fb0c83a")</f>
      </c>
    </row>
    <row r="1290" spans="1:10" customHeight="0">
      <c r="A1290" s="2" t="inlineStr">
        <is>
          <t>Рэковые корпуса</t>
        </is>
      </c>
      <c r="B1290" s="2" t="inlineStr">
        <is>
          <t>Chenbro</t>
        </is>
      </c>
      <c r="C1290" s="2" t="inlineStr">
        <is>
          <t>RM31616H09*14323</t>
        </is>
      </c>
      <c r="D1290" s="2" t="inlineStr">
        <is>
          <t>Корпус Chenbro RM31616H09*14323 3U,16 HDD BAYS,12G MINI SAS HD EXPANDER PCB,USB3.0,W/RAIL+3.5" TRAY+PSU BACKET(FOR R2IS7871A-CD),SINGLE(CHENBRO,SR/SK),REV.F00</t>
        </is>
      </c>
      <c r="E1290" s="2">
        <v>13</v>
      </c>
      <c r="F1290" s="2">
        <v>13</v>
      </c>
      <c r="H1290" s="2">
        <v>1163</v>
      </c>
      <c r="I1290" s="2" t="inlineStr">
        <is>
          <t>$</t>
        </is>
      </c>
      <c r="J1290" s="2">
        <f>HYPERLINK("https://app.astro.lead-studio.pro/product/13347348-edbb-4a3d-9c27-8cdf21998996")</f>
      </c>
    </row>
    <row r="1291" spans="1:10" customHeight="0">
      <c r="A1291" s="2" t="inlineStr">
        <is>
          <t>Рэковые корпуса</t>
        </is>
      </c>
      <c r="B1291" s="2" t="inlineStr">
        <is>
          <t>Chenbro</t>
        </is>
      </c>
      <c r="C1291" s="2" t="inlineStr">
        <is>
          <t>RM31616H15*14285</t>
        </is>
      </c>
      <c r="D1291" s="2" t="inlineStr">
        <is>
          <t>Корпус Chenbro RM31616H15*14285 3U,16 HDD BAYS,12G MINI SAS HD PCB,USB3.0,W/RAIL+TRAY,SINGLE CHENBRO,SR/SK,REV.F00</t>
        </is>
      </c>
      <c r="E1291" s="2">
        <v>10</v>
      </c>
      <c r="F1291" s="2">
        <v>10</v>
      </c>
      <c r="H1291" s="2">
        <v>968</v>
      </c>
      <c r="I1291" s="2" t="inlineStr">
        <is>
          <t>$</t>
        </is>
      </c>
      <c r="J1291" s="2">
        <f>HYPERLINK("https://app.astro.lead-studio.pro/product/1a34a8fe-46f0-403e-b7fa-09b2f6dcf235")</f>
      </c>
    </row>
    <row r="1292" spans="1:10" customHeight="0">
      <c r="A1292" s="2" t="inlineStr">
        <is>
          <t>Рэковые корпуса</t>
        </is>
      </c>
      <c r="B1292" s="2" t="inlineStr">
        <is>
          <t>AIC</t>
        </is>
      </c>
      <c r="C1292" s="2" t="inlineStr">
        <is>
          <t>RSC-4BT_XE1-4BT00-05||bp</t>
        </is>
      </c>
      <c r="D1292" s="2" t="inlineStr">
        <is>
          <t>Корпус серверный AIC Bad Pack "RSC-4BT, 4U 36x 3.5" hot-swap bays, tooless 3.5" and 2.5" HOD tray supply
1200W CRPS redundant power bp</t>
        </is>
      </c>
      <c r="E1292" s="2">
        <v>1</v>
      </c>
      <c r="F1292" s="2">
        <v>1</v>
      </c>
      <c r="H1292" s="2">
        <v>2205</v>
      </c>
      <c r="I1292" s="2" t="inlineStr">
        <is>
          <t>$</t>
        </is>
      </c>
      <c r="J1292" s="2">
        <f>HYPERLINK("https://app.astro.lead-studio.pro/product/35cc36c1-854e-415b-99a3-aa0986cb7be7")</f>
      </c>
    </row>
    <row r="1293" spans="1:10" customHeight="0">
      <c r="A1293" s="2" t="inlineStr">
        <is>
          <t>Рэковые корпуса</t>
        </is>
      </c>
      <c r="B1293" s="2" t="inlineStr">
        <is>
          <t>AIC</t>
        </is>
      </c>
      <c r="C1293" s="2" t="inlineStr">
        <is>
          <t>XE1-1DT00-65||bp</t>
        </is>
      </c>
      <c r="D1293" s="2" t="inlineStr">
        <is>
          <t>Корпус AIC XE1-1DT00-65 XE1-1DT00-02 w/750WT redundantPSU+BKT</t>
        </is>
      </c>
      <c r="E1293" s="2">
        <v>1</v>
      </c>
      <c r="F1293" s="2">
        <v>1</v>
      </c>
      <c r="H1293" s="2">
        <v>1091</v>
      </c>
      <c r="I1293" s="2" t="inlineStr">
        <is>
          <t>$</t>
        </is>
      </c>
      <c r="J1293" s="2">
        <f>HYPERLINK("https://app.astro.lead-studio.pro/product/7aa28b2e-f53f-4db1-8447-3792eb6b31a6")</f>
      </c>
    </row>
    <row r="1294" spans="1:10" customHeight="0">
      <c r="A1294" s="2" t="inlineStr">
        <is>
          <t>Рэковые корпуса</t>
        </is>
      </c>
      <c r="B1294" s="2" t="inlineStr">
        <is>
          <t>AIC</t>
        </is>
      </c>
      <c r="C1294" s="2" t="inlineStr">
        <is>
          <t>XE1-1DTS0-62</t>
        </is>
      </c>
      <c r="D1294" s="2" t="inlineStr">
        <is>
          <t>Корпус AIC RSC-1DTS_XE1-1DTS0-62 XE0-AE001-02, RSC-1DTS,1U, 12G 4xSATA/SAS/NVMe HS 3,5/2,5" universal bay + 4x2,5" 9mminternal bay, up to 12"(W) x 9.6"(D) ATX MB, 1x12G 4-port passive BPwith 1xSFF-8643 and 4*Oculink(NVMe), 3x 40x56 + 1x 40x28 fans, 450W 1+1redundant 80+ Gold, 28" slide rail, w/o CPU heatsinks, w/o bezel, 1x risercard (PCIe x8)</t>
        </is>
      </c>
      <c r="E1294" s="2">
        <v>10</v>
      </c>
      <c r="F1294" s="2">
        <v>10</v>
      </c>
      <c r="H1294" s="2">
        <v>1058</v>
      </c>
      <c r="I1294" s="2" t="inlineStr">
        <is>
          <t>$</t>
        </is>
      </c>
      <c r="J1294" s="2">
        <f>HYPERLINK("https://app.astro.lead-studio.pro/product/ee82c8a4-8a51-4d5d-8b5a-09802628b54f")</f>
      </c>
    </row>
    <row r="1295" spans="1:10" customHeight="0">
      <c r="A1295" s="2" t="inlineStr">
        <is>
          <t>Рэковые корпуса</t>
        </is>
      </c>
      <c r="B1295" s="2" t="inlineStr">
        <is>
          <t>AIC</t>
        </is>
      </c>
      <c r="C1295" s="2" t="inlineStr">
        <is>
          <t>XE1-3ET00-01</t>
        </is>
      </c>
      <c r="D1295" s="2" t="inlineStr">
        <is>
          <t>Корпус AIC XE1-3ET00-01 RSC-3ET, 3U, 16xSATA/SAS HS 3,5/2,5" universal bay + 2x2,5" 15mm rear HS bay + 4x2,5 7mm internal bay, up to 12"(W) x 13"(D) E-ATX, 1x12G 16-port EOB BP with 3xSFF-8643, 3x 80x38mm fan (middle), 800W 1+1 redundant 80+ Platinum, 28" slide r</t>
        </is>
      </c>
      <c r="E1295" s="2">
        <v>10</v>
      </c>
      <c r="F1295" s="2">
        <v>10</v>
      </c>
      <c r="H1295" s="2">
        <v>1462</v>
      </c>
      <c r="I1295" s="2" t="inlineStr">
        <is>
          <t>$</t>
        </is>
      </c>
      <c r="J1295" s="2">
        <f>HYPERLINK("https://app.astro.lead-studio.pro/product/c1f9ed83-bb2c-4b72-8c70-33856db12e1c")</f>
      </c>
    </row>
    <row r="1296" spans="1:10" customHeight="0">
      <c r="A1296" s="2" t="inlineStr">
        <is>
          <t>ASIC Miners</t>
        </is>
      </c>
      <c r="B1296" s="2" t="inlineStr">
        <is>
          <t>MicroBT</t>
        </is>
      </c>
      <c r="C1296" s="2" t="inlineStr">
        <is>
          <t>M50-118TH/s-28W</t>
        </is>
      </c>
      <c r="D1296" s="2" t="inlineStr">
        <is>
          <t>Системный блок MicroBT MIcroBT M50-118TH/s-28W</t>
        </is>
      </c>
      <c r="E1296" s="2">
        <v>3</v>
      </c>
      <c r="F1296" s="2">
        <v>3</v>
      </c>
      <c r="H1296" s="2">
        <v>1255</v>
      </c>
      <c r="I1296" s="2" t="inlineStr">
        <is>
          <t>$</t>
        </is>
      </c>
      <c r="J1296" s="2">
        <f>HYPERLINK("https://app.astro.lead-studio.pro/product/40d3194f-1fd3-4bcf-b6e6-c76a8952e1ba")</f>
      </c>
    </row>
    <row r="1297" spans="1:10" customHeight="0">
      <c r="A1297" s="2" t="inlineStr">
        <is>
          <t>ASIC Miners</t>
        </is>
      </c>
      <c r="B1297" s="2" t="inlineStr">
        <is>
          <t>MicroBT</t>
        </is>
      </c>
      <c r="C1297" s="2" t="inlineStr">
        <is>
          <t>M50-120TH/s-27W||bp</t>
        </is>
      </c>
      <c r="D1297" s="2" t="inlineStr">
        <is>
          <t>Системный блок MicroBT MIcroBT M50-120TH/s-27W </t>
        </is>
      </c>
      <c r="E1297" s="2">
        <v>1</v>
      </c>
      <c r="F1297" s="2">
        <v>1</v>
      </c>
      <c r="H1297" s="2">
        <v>1241</v>
      </c>
      <c r="I1297" s="2" t="inlineStr">
        <is>
          <t>$</t>
        </is>
      </c>
      <c r="J1297" s="2">
        <f>HYPERLINK("https://app.astro.lead-studio.pro/product/3454e54c-a5b4-4f78-b097-0edbf4822381")</f>
      </c>
    </row>
    <row r="1298" spans="1:10" customHeight="0">
      <c r="A1298" s="2" t="inlineStr">
        <is>
          <t>ASIC Miners</t>
        </is>
      </c>
      <c r="B1298" s="2" t="inlineStr">
        <is>
          <t>MicroBT</t>
        </is>
      </c>
      <c r="C1298" s="2" t="inlineStr">
        <is>
          <t>M50-120TH/s-28W</t>
        </is>
      </c>
      <c r="D1298" s="2" t="inlineStr">
        <is>
          <t>Системный блок MicroBT MicroBT M50-120TH/s-28W</t>
        </is>
      </c>
      <c r="E1298" s="2">
        <v>6</v>
      </c>
      <c r="F1298" s="2">
        <v>6</v>
      </c>
      <c r="H1298" s="2">
        <v>1365</v>
      </c>
      <c r="I1298" s="2" t="inlineStr">
        <is>
          <t>$</t>
        </is>
      </c>
      <c r="J1298" s="2">
        <f>HYPERLINK("https://app.astro.lead-studio.pro/product/44dd0b63-e1f6-466c-8301-c91fa56f7b44")</f>
      </c>
    </row>
    <row r="1299" spans="1:10" customHeight="0">
      <c r="A1299" s="2" t="inlineStr">
        <is>
          <t>ASIC Miners</t>
        </is>
      </c>
      <c r="B1299" s="2" t="inlineStr">
        <is>
          <t>MicroBT</t>
        </is>
      </c>
      <c r="C1299" s="2" t="inlineStr">
        <is>
          <t>M50-122TH/s-27W</t>
        </is>
      </c>
      <c r="D1299" s="2" t="inlineStr">
        <is>
          <t>Системный блок MicroBT M50-122TH/s-27W </t>
        </is>
      </c>
      <c r="E1299" s="2">
        <v>1</v>
      </c>
      <c r="F1299" s="2">
        <v>1</v>
      </c>
      <c r="H1299" s="2">
        <v>1285</v>
      </c>
      <c r="I1299" s="2" t="inlineStr">
        <is>
          <t>$</t>
        </is>
      </c>
      <c r="J1299" s="2">
        <f>HYPERLINK("https://app.astro.lead-studio.pro/product/232ec963-72c7-49e5-b330-076a13ac9cc3")</f>
      </c>
    </row>
    <row r="1300" spans="1:10" customHeight="0">
      <c r="A1300" s="2" t="inlineStr">
        <is>
          <t>ASIC Miners</t>
        </is>
      </c>
      <c r="B1300" s="2" t="inlineStr">
        <is>
          <t>MicroBT</t>
        </is>
      </c>
      <c r="C1300" s="2" t="inlineStr">
        <is>
          <t>M50-124TH/s-27W</t>
        </is>
      </c>
      <c r="D1300" s="2" t="inlineStr">
        <is>
          <t>Системный блок MicroBT M50-124TH/s-27W </t>
        </is>
      </c>
      <c r="E1300" s="2">
        <v>84</v>
      </c>
      <c r="F1300" s="2">
        <v>84</v>
      </c>
      <c r="H1300" s="2">
        <v>1397</v>
      </c>
      <c r="I1300" s="2" t="inlineStr">
        <is>
          <t>$</t>
        </is>
      </c>
      <c r="J1300" s="2">
        <f>HYPERLINK("https://app.astro.lead-studio.pro/product/bdb92e55-06f1-423f-8e89-7f48e9b8b343")</f>
      </c>
    </row>
    <row r="1301" spans="1:10" customHeight="0">
      <c r="A1301" s="2" t="inlineStr">
        <is>
          <t>ASIC Miners</t>
        </is>
      </c>
      <c r="B1301" s="2" t="inlineStr">
        <is>
          <t>MicroBT</t>
        </is>
      </c>
      <c r="C1301" s="2" t="inlineStr">
        <is>
          <t>M60S+-188TH/s-17.5W</t>
        </is>
      </c>
      <c r="D1301" s="2" t="inlineStr">
        <is>
          <t>Системный блок  MicroBT M60S+-188TH/s-17.5W </t>
        </is>
      </c>
      <c r="E1301" s="2">
        <v>10</v>
      </c>
      <c r="F1301" s="2">
        <v>10</v>
      </c>
      <c r="H1301" s="2">
        <v>5140</v>
      </c>
      <c r="I1301" s="2" t="inlineStr">
        <is>
          <t>$</t>
        </is>
      </c>
      <c r="J1301" s="2">
        <f>HYPERLINK("https://app.astro.lead-studio.pro/product/d9fae94b-5eaf-41bf-b459-04670c2a5704")</f>
      </c>
    </row>
    <row r="1302" spans="1:10" customHeight="0">
      <c r="A1302" s="2" t="inlineStr">
        <is>
          <t>Комплектующие</t>
        </is>
      </c>
      <c r="B1302" s="2" t="inlineStr">
        <is>
          <t>Seeed</t>
        </is>
      </c>
      <c r="C1302" s="2" t="inlineStr">
        <is>
          <t>102991154</t>
        </is>
      </c>
      <c r="D1302" s="2" t="inlineStr">
        <is>
          <t>Сетевой терминал Seeed 102991154 SenseCAP Gateway - LoRaWAN EU868MHz</t>
        </is>
      </c>
      <c r="E1302" s="2">
        <v>1</v>
      </c>
      <c r="F1302" s="2">
        <v>1</v>
      </c>
      <c r="H1302" s="2">
        <v>581</v>
      </c>
      <c r="I1302" s="2" t="inlineStr">
        <is>
          <t>$</t>
        </is>
      </c>
      <c r="J1302" s="2">
        <f>HYPERLINK("https://app.astro.lead-studio.pro/product/eca739d5-bd28-461b-92a3-0d3b79fe1e8c")</f>
      </c>
    </row>
    <row r="1303" spans="1:10" customHeight="0">
      <c r="A1303" s="2" t="inlineStr">
        <is>
          <t>Комплектующие</t>
        </is>
      </c>
      <c r="B1303" s="2" t="inlineStr">
        <is>
          <t>Leadtek</t>
        </is>
      </c>
      <c r="C1303" s="2" t="inlineStr">
        <is>
          <t>3292C003100 / 3292C001101</t>
        </is>
      </c>
      <c r="D1303" s="2" t="inlineStr">
        <is>
          <t>Контроллер Leadtek TERA2240 (292C) 3292C003100/3292C0011 4Gbit mDPx4+RJ45</t>
        </is>
      </c>
      <c r="E1303" s="2">
        <v>10</v>
      </c>
      <c r="F1303" s="2">
        <v>10</v>
      </c>
      <c r="H1303" s="2">
        <v>1216</v>
      </c>
      <c r="I1303" s="2" t="inlineStr">
        <is>
          <t>$</t>
        </is>
      </c>
      <c r="J1303" s="2">
        <f>HYPERLINK("https://app.astro.lead-studio.pro/product/1aa6e9a7-517e-4aa0-8aef-13bc141c9fb2")</f>
      </c>
    </row>
    <row r="1304" spans="1:10" customHeight="0">
      <c r="A1304" s="2" t="inlineStr">
        <is>
          <t>Комплектующие</t>
        </is>
      </c>
      <c r="B1304" s="2" t="inlineStr">
        <is>
          <t>Leadtek</t>
        </is>
      </c>
      <c r="C1304" s="2" t="inlineStr">
        <is>
          <t>3292C004100</t>
        </is>
      </c>
      <c r="D1304" s="2" t="inlineStr">
        <is>
          <t>Контроллер Leadtek TERA2240 (292C) 3292C004100 4Gbit mDPx4+Fiber</t>
        </is>
      </c>
      <c r="E1304" s="2">
        <v>10</v>
      </c>
      <c r="F1304" s="2">
        <v>10</v>
      </c>
      <c r="H1304" s="2">
        <v>915</v>
      </c>
      <c r="I1304" s="2" t="inlineStr">
        <is>
          <t>$</t>
        </is>
      </c>
      <c r="J1304" s="2">
        <f>HYPERLINK("https://app.astro.lead-studio.pro/product/3cc611f5-b626-499c-ac2d-21059ba93ae3")</f>
      </c>
    </row>
    <row r="1305" spans="1:10" customHeight="0">
      <c r="A1305" s="2" t="inlineStr">
        <is>
          <t>Комплектующие</t>
        </is>
      </c>
      <c r="B1305" s="2" t="inlineStr">
        <is>
          <t>Leadtek</t>
        </is>
      </c>
      <c r="C1305" s="2" t="inlineStr">
        <is>
          <t>3293E10110D / 3293E003100</t>
        </is>
      </c>
      <c r="D1305" s="2" t="inlineStr">
        <is>
          <t> Контроллер Leadtek TERA2220 (293E) 3293E101103/3293E003100 4Gbit mDPx2+RJ45</t>
        </is>
      </c>
      <c r="E1305" s="2">
        <v>10</v>
      </c>
      <c r="F1305" s="2">
        <v>10</v>
      </c>
      <c r="H1305" s="2">
        <v>751</v>
      </c>
      <c r="I1305" s="2" t="inlineStr">
        <is>
          <t>$</t>
        </is>
      </c>
      <c r="J1305" s="2">
        <f>HYPERLINK("https://app.astro.lead-studio.pro/product/ea8f43ff-1e9f-4ef8-b881-b3d2a7d1dc5d")</f>
      </c>
    </row>
    <row r="1306" spans="1:10" customHeight="0">
      <c r="A1306" s="2" t="inlineStr">
        <is>
          <t>Комплектующие</t>
        </is>
      </c>
      <c r="B1306" s="2" t="inlineStr">
        <is>
          <t>Orbbec</t>
        </is>
      </c>
      <c r="C1306" s="2" t="inlineStr">
        <is>
          <t>Femto_Bolt</t>
        </is>
      </c>
      <c r="D1306" s="2" t="inlineStr">
        <is>
          <t>Камера Orbbec Femto Bolt 3D</t>
        </is>
      </c>
      <c r="E1306" s="2">
        <v>1</v>
      </c>
      <c r="F1306" s="2">
        <v>1</v>
      </c>
      <c r="H1306" s="2">
        <v>772</v>
      </c>
      <c r="I1306" s="2" t="inlineStr">
        <is>
          <t>$</t>
        </is>
      </c>
      <c r="J1306" s="2">
        <f>HYPERLINK("https://app.astro.lead-studio.pro/product/3630a4c2-93e5-44b4-8f64-174d81c736ee")</f>
      </c>
    </row>
    <row r="1307" spans="1:10" customHeight="0">
      <c r="A1307" s="2" t="inlineStr">
        <is>
          <t>Комплектующие</t>
        </is>
      </c>
      <c r="B1307" s="2" t="inlineStr">
        <is>
          <t>Myir</t>
        </is>
      </c>
      <c r="C1307" s="2" t="inlineStr">
        <is>
          <t>MYD-JX8MQ6-8E2D-130-E</t>
        </is>
      </c>
      <c r="D1307" s="2" t="inlineStr">
        <is>
          <t>Плата разработки Myir MYD-JX8MQ6-8E2D-130-E i.MX8M, MIMX8MQ6CVAHZAB, 2GB LPDDR4, 8GB eMMC {10}</t>
        </is>
      </c>
      <c r="E1307" s="2">
        <v>11</v>
      </c>
      <c r="F1307" s="2">
        <v>11</v>
      </c>
      <c r="H1307" s="2">
        <v>381</v>
      </c>
      <c r="I1307" s="2" t="inlineStr">
        <is>
          <t>$</t>
        </is>
      </c>
      <c r="J1307" s="2">
        <f>HYPERLINK("https://app.astro.lead-studio.pro/product/97a73a4a-44e2-4a24-8ea7-703f5177e927")</f>
      </c>
    </row>
    <row r="1308" spans="1:10" customHeight="0">
      <c r="A1308" s="2" t="inlineStr">
        <is>
          <t>Комплектующие</t>
        </is>
      </c>
      <c r="B1308" s="2" t="inlineStr">
        <is>
          <t>Orbbec</t>
        </is>
      </c>
      <c r="C1308" s="2" t="inlineStr">
        <is>
          <t>OBGemini2</t>
        </is>
      </c>
      <c r="D1308" s="2" t="inlineStr">
        <is>
          <t>3D-камера Orbbec Gemini 2</t>
        </is>
      </c>
      <c r="E1308" s="2">
        <v>3</v>
      </c>
      <c r="F1308" s="2">
        <v>3</v>
      </c>
      <c r="H1308" s="2">
        <v>431</v>
      </c>
      <c r="I1308" s="2" t="inlineStr">
        <is>
          <t>$</t>
        </is>
      </c>
      <c r="J1308" s="2">
        <f>HYPERLINK("https://app.astro.lead-studio.pro/product/6da996de-7e93-4325-88d2-04d9ba2f834e")</f>
      </c>
    </row>
    <row r="1309" spans="1:10" customHeight="0">
      <c r="A1309" s="2" t="inlineStr">
        <is>
          <t>Комплектующие</t>
        </is>
      </c>
      <c r="B1309" s="2" t="inlineStr">
        <is>
          <t>Leadtek</t>
        </is>
      </c>
      <c r="C1309" s="2" t="inlineStr">
        <is>
          <t>TERA2220 (293E) 3293E102101/3293E004100</t>
        </is>
      </c>
      <c r="D1309" s="2" t="inlineStr">
        <is>
          <t>Контроллер Leadtek TERA2220 (293E) 3293E102101/3293E004100 4Gbit mDPx2+Fiber</t>
        </is>
      </c>
      <c r="E1309" s="2">
        <v>1</v>
      </c>
      <c r="F1309" s="2">
        <v>1</v>
      </c>
      <c r="H1309" s="2">
        <v>777</v>
      </c>
      <c r="I1309" s="2" t="inlineStr">
        <is>
          <t>$</t>
        </is>
      </c>
      <c r="J1309" s="2">
        <f>HYPERLINK("https://app.astro.lead-studio.pro/product/e307531f-e05f-4e26-b6d9-7473f6c34e97")</f>
      </c>
    </row>
    <row r="1310" spans="1:10" customHeight="0">
      <c r="A1310" s="2" t="inlineStr">
        <is>
          <t>Комплектующие</t>
        </is>
      </c>
      <c r="B1310" s="2" t="inlineStr">
        <is>
          <t>Leadtek</t>
        </is>
      </c>
      <c r="C1310" s="2" t="inlineStr">
        <is>
          <t>TERA2240 (292C) 3292C002100</t>
        </is>
      </c>
      <c r="D1310" s="2" t="inlineStr">
        <is>
          <t>TTera 2240 Host Card – Fiber (PCoIP Tera 2240 Host Card – Fiber (3292C002100)</t>
        </is>
      </c>
      <c r="E1310" s="2">
        <v>1</v>
      </c>
      <c r="F1310" s="2">
        <v>1</v>
      </c>
      <c r="H1310" s="2">
        <v>1211</v>
      </c>
      <c r="I1310" s="2" t="inlineStr">
        <is>
          <t>$</t>
        </is>
      </c>
      <c r="J1310" s="2">
        <f>HYPERLINK("https://app.astro.lead-studio.pro/product/b942b153-d48e-44a6-baad-185a1278c22e")</f>
      </c>
    </row>
    <row r="1311" spans="1:10" customHeight="0">
      <c r="A1311" s="2" t="inlineStr">
        <is>
          <t>Мониторы для микрокомпьютеров</t>
        </is>
      </c>
      <c r="B1311" s="2" t="inlineStr">
        <is>
          <t>ACD</t>
        </is>
      </c>
      <c r="C1311" s="2" t="inlineStr">
        <is>
          <t>XC574</t>
        </is>
      </c>
      <c r="D1311" s="2" t="inlineStr">
        <is>
          <t>Монитор ACD «ACDM18-XC574 Монитор Waveshare 15.6» емкостной сенсорный, 1920x1080 IPS матрица, вход HDMI/Type-C, в корпусе, питание по USB, for Raspberry Pi 3 (WS16527)(RASP3528)</t>
        </is>
      </c>
      <c r="E1311" s="2">
        <v>1</v>
      </c>
      <c r="F1311" s="2">
        <v>1</v>
      </c>
      <c r="H1311" s="2">
        <v>372</v>
      </c>
      <c r="I1311" s="2" t="inlineStr">
        <is>
          <t>$</t>
        </is>
      </c>
      <c r="J1311" s="2">
        <f>HYPERLINK("https://app.astro.lead-studio.pro/product/568cbbf4-e9bf-4bc9-819b-9aae0905756b")</f>
      </c>
    </row>
    <row r="1312" spans="1:10" customHeight="0">
      <c r="A1312" s="2" t="inlineStr">
        <is>
          <t>Одноплатные компьютеры</t>
        </is>
      </c>
      <c r="B1312" s="2" t="inlineStr">
        <is>
          <t>Seeed</t>
        </is>
      </c>
      <c r="C1312" s="2" t="inlineStr">
        <is>
          <t>110110144</t>
        </is>
      </c>
      <c r="D1312" s="2" t="inlineStr">
        <is>
          <t>reComputer J4011-Edge AI Device with NVIDIA Jetson Orin™ NX 8GB module</t>
        </is>
      </c>
      <c r="E1312" s="2">
        <v>9</v>
      </c>
      <c r="F1312" s="2">
        <v>9</v>
      </c>
      <c r="H1312" s="2">
        <v>1377</v>
      </c>
      <c r="I1312" s="2" t="inlineStr">
        <is>
          <t>$</t>
        </is>
      </c>
      <c r="J1312" s="2">
        <f>HYPERLINK("https://app.astro.lead-studio.pro/product/b9baaa1e-5ed6-43ef-97e6-f54d3b4bfa20")</f>
      </c>
    </row>
    <row r="1313" spans="1:10" customHeight="0">
      <c r="A1313" s="2" t="inlineStr">
        <is>
          <t>Одноплатные компьютеры</t>
        </is>
      </c>
      <c r="B1313" s="2" t="inlineStr">
        <is>
          <t>FireFly</t>
        </is>
      </c>
      <c r="C1313" s="2" t="inlineStr">
        <is>
          <t>AIO-3559AV100-JD4</t>
        </is>
      </c>
      <c r="D1313" s="2" t="inlineStr">
        <is>
          <t>Одноплатный компьютер FireFly AIO-3559AV100-JD4 4G/32G Hi3559A</t>
        </is>
      </c>
      <c r="E1313" s="2">
        <v>10</v>
      </c>
      <c r="F1313" s="2">
        <v>10</v>
      </c>
      <c r="H1313" s="2">
        <v>638</v>
      </c>
      <c r="I1313" s="2" t="inlineStr">
        <is>
          <t>$</t>
        </is>
      </c>
      <c r="J1313" s="2">
        <f>HYPERLINK("https://app.astro.lead-studio.pro/product/6380cc1e-45b8-4e24-abd4-77eef9737f5d")</f>
      </c>
    </row>
    <row r="1314" spans="1:10" customHeight="0">
      <c r="A1314" s="2" t="inlineStr">
        <is>
          <t>Одноплатные компьютеры</t>
        </is>
      </c>
      <c r="B1314" s="2" t="inlineStr">
        <is>
          <t>FireFly</t>
        </is>
      </c>
      <c r="C1314" s="2" t="inlineStr">
        <is>
          <t>EC-3559AV100-JD4</t>
        </is>
      </c>
      <c r="D1314" s="2" t="inlineStr">
        <is>
          <t>Одноплатный компьютер FireFly EC-3559AV100-JD4 4G/32G Hi3559A</t>
        </is>
      </c>
      <c r="E1314" s="2">
        <v>10</v>
      </c>
      <c r="F1314" s="2">
        <v>10</v>
      </c>
      <c r="H1314" s="2">
        <v>628</v>
      </c>
      <c r="I1314" s="2" t="inlineStr">
        <is>
          <t>$</t>
        </is>
      </c>
      <c r="J1314" s="2">
        <f>HYPERLINK("https://app.astro.lead-studio.pro/product/5ad8881a-df7d-4ff2-9f5f-ffb08f83cc3f")</f>
      </c>
    </row>
    <row r="1315" spans="1:10" customHeight="0">
      <c r="A1315" s="2" t="inlineStr">
        <is>
          <t>Одноплатные компьютеры</t>
        </is>
      </c>
      <c r="B1315" s="2" t="inlineStr">
        <is>
          <t>Khadas</t>
        </is>
      </c>
      <c r="C1315" s="2" t="inlineStr">
        <is>
          <t>Edge2_ARM_Bas</t>
        </is>
      </c>
      <c r="D1315" s="2" t="inlineStr">
        <is>
          <t>Одноплатный компьютер Khadas Edge2 ARM PC Basic</t>
        </is>
      </c>
      <c r="E1315" s="2">
        <v>3</v>
      </c>
      <c r="F1315" s="2">
        <v>3</v>
      </c>
      <c r="H1315" s="2">
        <v>335</v>
      </c>
      <c r="I1315" s="2" t="inlineStr">
        <is>
          <t>$</t>
        </is>
      </c>
      <c r="J1315" s="2">
        <f>HYPERLINK("https://app.astro.lead-studio.pro/product/bde2d82d-a766-4ccb-9eb3-a91a3bfc0528")</f>
      </c>
    </row>
    <row r="1316" spans="1:10" customHeight="0">
      <c r="A1316" s="2" t="inlineStr">
        <is>
          <t>Одноплатные компьютеры</t>
        </is>
      </c>
      <c r="B1316" s="2" t="inlineStr">
        <is>
          <t>Khadas</t>
        </is>
      </c>
      <c r="C1316" s="2" t="inlineStr">
        <is>
          <t>Edge2_ARM_Pro</t>
        </is>
      </c>
      <c r="D1316" s="2" t="inlineStr">
        <is>
          <t>Одноплатный компьютер Khadas Edge2 ARM PC Pro</t>
        </is>
      </c>
      <c r="E1316" s="2">
        <v>2</v>
      </c>
      <c r="F1316" s="2">
        <v>2</v>
      </c>
      <c r="H1316" s="2">
        <v>417</v>
      </c>
      <c r="I1316" s="2" t="inlineStr">
        <is>
          <t>$</t>
        </is>
      </c>
      <c r="J1316" s="2">
        <f>HYPERLINK("https://app.astro.lead-studio.pro/product/792dd893-6ccf-4883-85f1-4cce32aa375d")</f>
      </c>
    </row>
    <row r="1317" spans="1:10" customHeight="0">
      <c r="A1317" s="2" t="inlineStr">
        <is>
          <t>Одноплатные компьютеры</t>
        </is>
      </c>
      <c r="B1317" s="2" t="inlineStr">
        <is>
          <t>Khadas</t>
        </is>
      </c>
      <c r="C1317" s="2" t="inlineStr">
        <is>
          <t>Edge2_Pro</t>
        </is>
      </c>
      <c r="D1317" s="2" t="inlineStr">
        <is>
          <t>Одноплатный компьютер Khadas Edge2 Maker Kit Pro </t>
        </is>
      </c>
      <c r="E1317" s="2">
        <v>2</v>
      </c>
      <c r="F1317" s="2">
        <v>2</v>
      </c>
      <c r="H1317" s="2">
        <v>339</v>
      </c>
      <c r="I1317" s="2" t="inlineStr">
        <is>
          <t>$</t>
        </is>
      </c>
      <c r="J1317" s="2">
        <f>HYPERLINK("https://app.astro.lead-studio.pro/product/d96ab8c4-354f-4723-abd2-3ac652efae7f")</f>
      </c>
    </row>
    <row r="1318" spans="1:10" customHeight="0">
      <c r="A1318" s="2" t="inlineStr">
        <is>
          <t>Одноплатные компьютеры</t>
        </is>
      </c>
      <c r="B1318" s="2" t="inlineStr">
        <is>
          <t>GIGAIPC</t>
        </is>
      </c>
      <c r="C1318" s="2" t="inlineStr">
        <is>
          <t>QBiX-WP-WHLA8265H-A1</t>
        </is>
      </c>
      <c r="D1318" s="2" t="inlineStr">
        <is>
          <t>Одноплатный компьютер GIGAIPC QBiX-WP-WHLA8265H-A1 IP67 - Industrial water proof system with Intel® Core™ i5-8265U Processor</t>
        </is>
      </c>
      <c r="E1318" s="2">
        <v>3</v>
      </c>
      <c r="F1318" s="2">
        <v>3</v>
      </c>
      <c r="H1318" s="2">
        <v>2017</v>
      </c>
      <c r="I1318" s="2" t="inlineStr">
        <is>
          <t>$</t>
        </is>
      </c>
      <c r="J1318" s="2">
        <f>HYPERLINK("https://app.astro.lead-studio.pro/product/d79c20de-a4a8-452f-8181-40f18ac26a1e")</f>
      </c>
    </row>
    <row r="1319" spans="1:10" customHeight="0">
      <c r="A1319" s="2" t="inlineStr">
        <is>
          <t>Одноплатные компьютеры</t>
        </is>
      </c>
      <c r="B1319" s="2" t="inlineStr">
        <is>
          <t>FireFly</t>
        </is>
      </c>
      <c r="C1319" s="2" t="inlineStr">
        <is>
          <t>Station M2</t>
        </is>
      </c>
      <c r="D1319" s="2" t="inlineStr">
        <is>
          <t>Одноплатный компьютер FireFly M1 4G/32G 256SSD</t>
        </is>
      </c>
      <c r="E1319" s="2">
        <v>2</v>
      </c>
      <c r="F1319" s="2">
        <v>2</v>
      </c>
      <c r="H1319" s="2">
        <v>342</v>
      </c>
      <c r="I1319" s="2" t="inlineStr">
        <is>
          <t>$</t>
        </is>
      </c>
      <c r="J1319" s="2">
        <f>HYPERLINK("https://app.astro.lead-studio.pro/product/af6979ab-cbc5-4294-b639-d837343765d0")</f>
      </c>
    </row>
    <row r="1320" spans="1:10" customHeight="0">
      <c r="A1320" s="2" t="inlineStr">
        <is>
          <t>Платформы для микрокомпьютеров</t>
        </is>
      </c>
      <c r="B1320" s="2" t="inlineStr">
        <is>
          <t>Leadtek</t>
        </is>
      </c>
      <c r="C1320" s="2" t="inlineStr">
        <is>
          <t>3292D10310C</t>
        </is>
      </c>
      <c r="D1320" s="2" t="inlineStr">
        <is>
          <t>Нулевой клиент Leadtek 3292D10310C PCoIP Tera 2140 Zero Client - DVI/RJ45 / US Power cord</t>
        </is>
      </c>
      <c r="E1320" s="2">
        <v>10</v>
      </c>
      <c r="F1320" s="2">
        <v>10</v>
      </c>
      <c r="H1320" s="2">
        <v>831</v>
      </c>
      <c r="I1320" s="2" t="inlineStr">
        <is>
          <t>$</t>
        </is>
      </c>
      <c r="J1320" s="2">
        <f>HYPERLINK("https://app.astro.lead-studio.pro/product/45455f2d-650c-43f8-8fb4-b4e9f017c4b8")</f>
      </c>
    </row>
    <row r="1321" spans="1:10" customHeight="0">
      <c r="A1321" s="2" t="inlineStr">
        <is>
          <t>Платформы для микрокомпьютеров</t>
        </is>
      </c>
      <c r="B1321" s="2" t="inlineStr">
        <is>
          <t>Leadtek</t>
        </is>
      </c>
      <c r="C1321" s="2" t="inlineStr">
        <is>
          <t>3292E003100</t>
        </is>
      </c>
      <c r="D1321" s="2" t="inlineStr">
        <is>
          <t>Нулевой клиент Leadtek 3292E003100 PCoIP Tera 2140 Zero Client - DP/RJ45 / US Power cord</t>
        </is>
      </c>
      <c r="E1321" s="2">
        <v>10</v>
      </c>
      <c r="F1321" s="2">
        <v>10</v>
      </c>
      <c r="H1321" s="2">
        <v>798</v>
      </c>
      <c r="I1321" s="2" t="inlineStr">
        <is>
          <t>$</t>
        </is>
      </c>
      <c r="J1321" s="2">
        <f>HYPERLINK("https://app.astro.lead-studio.pro/product/7e84d911-9482-4e50-a50d-42aa502041c4")</f>
      </c>
    </row>
    <row r="1322" spans="1:10" customHeight="0">
      <c r="A1322" s="2" t="inlineStr">
        <is>
          <t>Платформы для микрокомпьютеров</t>
        </is>
      </c>
      <c r="B1322" s="2" t="inlineStr">
        <is>
          <t>Leadtek</t>
        </is>
      </c>
      <c r="C1322" s="2" t="inlineStr">
        <is>
          <t>3293C00E100</t>
        </is>
      </c>
      <c r="D1322" s="2" t="inlineStr">
        <is>
          <t>Нулевой клиент Leadtek 3293C00E100 PCoIP Tera 2321 Zero Client - DP/DVI / 6USB/RJ45 / US Power cord</t>
        </is>
      </c>
      <c r="E1322" s="2">
        <v>1</v>
      </c>
      <c r="F1322" s="2">
        <v>1</v>
      </c>
      <c r="H1322" s="2">
        <v>428</v>
      </c>
      <c r="I1322" s="2" t="inlineStr">
        <is>
          <t>$</t>
        </is>
      </c>
      <c r="J1322" s="2">
        <f>HYPERLINK("https://app.astro.lead-studio.pro/product/6156feaa-dad0-437d-b71d-9bc601bfde07")</f>
      </c>
    </row>
    <row r="1323" spans="1:10" customHeight="0">
      <c r="A1323" s="2" t="inlineStr">
        <is>
          <t>Платформы для микрокомпьютеров</t>
        </is>
      </c>
      <c r="B1323" s="2" t="inlineStr">
        <is>
          <t>Leadtek</t>
        </is>
      </c>
      <c r="C1323" s="2" t="inlineStr">
        <is>
          <t>3293C011101</t>
        </is>
      </c>
      <c r="D1323" s="2" t="inlineStr">
        <is>
          <t>Нулевой клиент Leadtek TERA2321 (293C) 3293C011101 6USB, Fiber, DPх1+DVIх1</t>
        </is>
      </c>
      <c r="E1323" s="2">
        <v>10</v>
      </c>
      <c r="F1323" s="2">
        <v>10</v>
      </c>
      <c r="H1323" s="2">
        <v>421</v>
      </c>
      <c r="I1323" s="2" t="inlineStr">
        <is>
          <t>$</t>
        </is>
      </c>
      <c r="J1323" s="2">
        <f>HYPERLINK("https://app.astro.lead-studio.pro/product/0c348189-0c66-4e40-b5e3-ec7a35de3e76")</f>
      </c>
    </row>
    <row r="1324" spans="1:10" customHeight="0">
      <c r="A1324" s="2" t="inlineStr">
        <is>
          <t>Платформы для микрокомпьютеров</t>
        </is>
      </c>
      <c r="B1324" s="2" t="inlineStr">
        <is>
          <t>Leadtek</t>
        </is>
      </c>
      <c r="C1324" s="2" t="inlineStr">
        <is>
          <t>TERA2140 (292E) 3292E005101</t>
        </is>
      </c>
      <c r="D1324" s="2" t="inlineStr">
        <is>
          <t>TERADICI TERA2140 (292E) 3292E005101</t>
        </is>
      </c>
      <c r="E1324" s="2">
        <v>8</v>
      </c>
      <c r="F1324" s="2">
        <v>8</v>
      </c>
      <c r="H1324" s="2">
        <v>647</v>
      </c>
      <c r="I1324" s="2" t="inlineStr">
        <is>
          <t>$</t>
        </is>
      </c>
      <c r="J1324" s="2">
        <f>HYPERLINK("https://app.astro.lead-studio.pro/product/b774c4f9-0297-4748-bc6f-48fe6c3934f9")</f>
      </c>
    </row>
    <row r="1325" spans="1:10" customHeight="0">
      <c r="A1325" s="2" t="inlineStr">
        <is>
          <t>Платформы для микрокомпьютеров</t>
        </is>
      </c>
      <c r="B1325" s="2" t="inlineStr">
        <is>
          <t>Leadtek</t>
        </is>
      </c>
      <c r="C1325" s="2" t="inlineStr">
        <is>
          <t>TERA2140 (292E) 3292E009101</t>
        </is>
      </c>
      <c r="D1325" s="2" t="inlineStr">
        <is>
          <t>Нулевой клиент Leadtek TERA2140 (292E) 3292E009101 DISPLAYPORTx4+USBx3+AUDIO+SC+RJ45</t>
        </is>
      </c>
      <c r="E1325" s="2">
        <v>10</v>
      </c>
      <c r="F1325" s="2">
        <v>10</v>
      </c>
      <c r="H1325" s="2">
        <v>647</v>
      </c>
      <c r="I1325" s="2" t="inlineStr">
        <is>
          <t>$</t>
        </is>
      </c>
      <c r="J1325" s="2">
        <f>HYPERLINK("https://app.astro.lead-studio.pro/product/f333f2c9-7db0-425b-8243-32289c53907f")</f>
      </c>
    </row>
    <row r="1326" spans="1:10" customHeight="0">
      <c r="A1326" s="2" t="inlineStr">
        <is>
          <t>Платформы для микрокомпьютеров</t>
        </is>
      </c>
      <c r="B1326" s="2" t="inlineStr">
        <is>
          <t>Leadtek</t>
        </is>
      </c>
      <c r="C1326" s="2" t="inlineStr">
        <is>
          <t>TERA2140 (3292E004101)</t>
        </is>
      </c>
      <c r="D1326" s="2" t="inlineStr">
        <is>
          <t>Нулевой клиент Leadtek TERA2140 (3292E104101) PCoIP TERA2140 Zero Client, 4USB, Fiber, DP</t>
        </is>
      </c>
      <c r="E1326" s="2">
        <v>10</v>
      </c>
      <c r="F1326" s="2">
        <v>10</v>
      </c>
      <c r="H1326" s="2">
        <v>711</v>
      </c>
      <c r="I1326" s="2" t="inlineStr">
        <is>
          <t>$</t>
        </is>
      </c>
      <c r="J1326" s="2">
        <f>HYPERLINK("https://app.astro.lead-studio.pro/product/c7ef9bfd-a897-4de8-85bb-6a7809542d24")</f>
      </c>
    </row>
    <row r="1327" spans="1:10" customHeight="0">
      <c r="A1327" s="2" t="inlineStr">
        <is>
          <t>Платформы для микрокомпьютеров</t>
        </is>
      </c>
      <c r="B1327" s="2" t="inlineStr">
        <is>
          <t>Leadtek</t>
        </is>
      </c>
      <c r="C1327" s="2" t="inlineStr">
        <is>
          <t>TERA2321 (293C) 3293C010102</t>
        </is>
      </c>
      <c r="D1327" s="2" t="inlineStr">
        <is>
          <t>Нулевой клиент Leadtek TERA2321 (293C) 3293C010102 4USB, RJ45,DVIx1+DPx1</t>
        </is>
      </c>
      <c r="E1327" s="2">
        <v>3</v>
      </c>
      <c r="F1327" s="2">
        <v>3</v>
      </c>
      <c r="H1327" s="2">
        <v>385</v>
      </c>
      <c r="I1327" s="2" t="inlineStr">
        <is>
          <t>$</t>
        </is>
      </c>
      <c r="J1327" s="2">
        <f>HYPERLINK("https://app.astro.lead-studio.pro/product/25347e25-c866-4ff7-8c4d-33a04cb5d0fe")</f>
      </c>
    </row>
    <row r="1328" spans="1:10" customHeight="0">
      <c r="A1328" s="2" t="inlineStr">
        <is>
          <t>Платформы для микрокомпьютеров</t>
        </is>
      </c>
      <c r="B1328" s="2" t="inlineStr">
        <is>
          <t>Leadtek</t>
        </is>
      </c>
      <c r="C1328" s="2" t="inlineStr">
        <is>
          <t>TERA2321 (293D) 3293D101104</t>
        </is>
      </c>
      <c r="D1328" s="2" t="inlineStr">
        <is>
          <t>Нулевой клиент Leadtek TERA2321 (293D) 3293D101104 4Gbit DVIx2+USBx4+AUDIO+RJ45</t>
        </is>
      </c>
      <c r="E1328" s="2">
        <v>2</v>
      </c>
      <c r="F1328" s="2">
        <v>2</v>
      </c>
      <c r="H1328" s="2">
        <v>368</v>
      </c>
      <c r="I1328" s="2" t="inlineStr">
        <is>
          <t>$</t>
        </is>
      </c>
      <c r="J1328" s="2">
        <f>HYPERLINK("https://app.astro.lead-studio.pro/product/df5776ee-8aa4-486e-9bcb-20333911aed7")</f>
      </c>
    </row>
    <row r="1329" spans="1:10" customHeight="0">
      <c r="A1329" s="2" t="inlineStr">
        <is>
          <t>Мониторы</t>
        </is>
      </c>
      <c r="B1329" s="2" t="inlineStr">
        <is>
          <t>Philips</t>
        </is>
      </c>
      <c r="C1329" s="2" t="inlineStr">
        <is>
          <t>27E1N1900AE/00</t>
        </is>
      </c>
      <c r="D1329" s="2" t="inlineStr">
        <is>
          <t>Монитор 27" PHILIPS 27E1N1900AE Black  (4K, IPS, 3840x2160, 4 ms, 178°/178°, 350 cd/m, 1000:1, +2xHDMI 2.0, +2xUSB 3.2, +USB-Type C, +MM, +регулировка по высоте)</t>
        </is>
      </c>
      <c r="E1329" s="2">
        <v>35</v>
      </c>
      <c r="F1329" s="2">
        <v>35</v>
      </c>
      <c r="H1329" s="2">
        <v>336</v>
      </c>
      <c r="I1329" s="2" t="inlineStr">
        <is>
          <t>$</t>
        </is>
      </c>
      <c r="J1329" s="2">
        <f>HYPERLINK("https://app.astro.lead-studio.pro/product/3273fe13-3da4-4999-aceb-d911f7cc55c2")</f>
      </c>
    </row>
    <row r="1330" spans="1:10" customHeight="0">
      <c r="A1330" s="2" t="inlineStr">
        <is>
          <t>Мониторы</t>
        </is>
      </c>
      <c r="B1330" s="2" t="inlineStr">
        <is>
          <t>LG</t>
        </is>
      </c>
      <c r="C1330" s="2" t="inlineStr">
        <is>
          <t>27GR93U-B</t>
        </is>
      </c>
      <c r="D1330" s="2" t="inlineStr">
        <is>
          <t>Монитор 27" LG 27GR93U-B Black (IPS, 3840x2160, HDMI+HDMI+DP, USB, 1 ms, 178°/178°, 400 cd/m, 1000:1, 144Hz, Pivot)</t>
        </is>
      </c>
      <c r="E1330" s="2">
        <v>3</v>
      </c>
      <c r="F1330" s="2">
        <v>3</v>
      </c>
      <c r="H1330" s="2">
        <v>562</v>
      </c>
      <c r="I1330" s="2" t="inlineStr">
        <is>
          <t>$</t>
        </is>
      </c>
      <c r="J1330" s="2">
        <f>HYPERLINK("https://app.astro.lead-studio.pro/product/8680c217-42d4-4342-8c80-fca9ebdd0cb9")</f>
      </c>
    </row>
    <row r="1331" spans="1:10" customHeight="0">
      <c r="A1331" s="2" t="inlineStr">
        <is>
          <t>Мониторы</t>
        </is>
      </c>
      <c r="B1331" s="2" t="inlineStr">
        <is>
          <t>KTC</t>
        </is>
      </c>
      <c r="C1331" s="2" t="inlineStr">
        <is>
          <t>27GS820</t>
        </is>
      </c>
      <c r="D1331" s="2" t="inlineStr">
        <is>
          <t>Монитор 27" KTC 27GS820 Black (HVA, 2560x1440, HDMI+HDMI+DP, USB, 1 ms, 178°/178°, 300 cd/m, 2500:1, 240Hz, FreeSync/G-Sync, Curved)</t>
        </is>
      </c>
      <c r="E1331" s="2">
        <v>100</v>
      </c>
      <c r="F1331" s="2">
        <v>100</v>
      </c>
      <c r="H1331" s="2">
        <v>395</v>
      </c>
      <c r="I1331" s="2" t="inlineStr">
        <is>
          <t>$</t>
        </is>
      </c>
      <c r="J1331" s="2">
        <f>HYPERLINK("https://app.astro.lead-studio.pro/product/d71efb17-0da7-4161-97e4-dc229a189089")</f>
      </c>
    </row>
    <row r="1332" spans="1:10" customHeight="0">
      <c r="A1332" s="2" t="inlineStr">
        <is>
          <t>Мониторы</t>
        </is>
      </c>
      <c r="B1332" s="2" t="inlineStr">
        <is>
          <t>LG</t>
        </is>
      </c>
      <c r="C1332" s="2" t="inlineStr">
        <is>
          <t>32GS85Q-B</t>
        </is>
      </c>
      <c r="D1332" s="2" t="inlineStr">
        <is>
          <t>Монитор 31.5" LG 32GS85Q-B Black (IPS, 2560x1440, HDMI+HDMI+DP, USB Hub, 1 ms, 178°/178°, 350 cd/m, 1000:1, 180Hz, Pivot)</t>
        </is>
      </c>
      <c r="E1332" s="2">
        <v>10</v>
      </c>
      <c r="F1332" s="2">
        <v>10</v>
      </c>
      <c r="H1332" s="2">
        <v>445</v>
      </c>
      <c r="I1332" s="2" t="inlineStr">
        <is>
          <t>$</t>
        </is>
      </c>
      <c r="J1332" s="2">
        <f>HYPERLINK("https://app.astro.lead-studio.pro/product/b9258013-94db-411a-af6e-63a0f84f44aa")</f>
      </c>
    </row>
    <row r="1333" spans="1:10" customHeight="0">
      <c r="A1333" s="2" t="inlineStr">
        <is>
          <t>Мониторы</t>
        </is>
      </c>
      <c r="B1333" s="2" t="inlineStr">
        <is>
          <t>Philips</t>
        </is>
      </c>
      <c r="C1333" s="2" t="inlineStr">
        <is>
          <t>32M1C5500VL (00/01)</t>
        </is>
      </c>
      <c r="D1333" s="2" t="inlineStr">
        <is>
          <t>Монитор 31.5" PHILIPS 32M1C5500VL (00/01) Black (VA, 2560x1440, HDMI+HDMI+DP, 1 ms, 178°/178°, 250 cd/m, 3000:1, 165Hz)</t>
        </is>
      </c>
      <c r="E1333" s="2">
        <v>1</v>
      </c>
      <c r="F1333" s="2">
        <v>1</v>
      </c>
      <c r="H1333" s="2">
        <v>326</v>
      </c>
      <c r="I1333" s="2" t="inlineStr">
        <is>
          <t>$</t>
        </is>
      </c>
      <c r="J1333" s="2">
        <f>HYPERLINK("https://app.astro.lead-studio.pro/product/dee729be-9fad-420a-b6ac-f6985ee13639")</f>
      </c>
    </row>
    <row r="1334" spans="1:10" customHeight="0">
      <c r="A1334" s="2" t="inlineStr">
        <is>
          <t>Мониторы</t>
        </is>
      </c>
      <c r="B1334" s="2" t="inlineStr">
        <is>
          <t>Philips</t>
        </is>
      </c>
      <c r="C1334" s="2" t="inlineStr">
        <is>
          <t>32M2C5500W (00/01)</t>
        </is>
      </c>
      <c r="D1334" s="2" t="inlineStr">
        <is>
          <t>Монитор 31.5" PHILIPS 32M2C5500W (00/01) Grey (VA, 2560x1440, HDMI+HDMI+DP+DP, USB-Hub, 1 ms, 178°/178°, 500 cd/m, 3000:1, 240Hz, Curved)</t>
        </is>
      </c>
      <c r="E1334" s="2">
        <v>16</v>
      </c>
      <c r="F1334" s="2">
        <v>16</v>
      </c>
      <c r="H1334" s="2">
        <v>546</v>
      </c>
      <c r="I1334" s="2" t="inlineStr">
        <is>
          <t>$</t>
        </is>
      </c>
      <c r="J1334" s="2">
        <f>HYPERLINK("https://app.astro.lead-studio.pro/product/88660657-812c-4641-9872-186a3933993c")</f>
      </c>
    </row>
    <row r="1335" spans="1:10" customHeight="0">
      <c r="A1335" s="2" t="inlineStr">
        <is>
          <t>Мониторы</t>
        </is>
      </c>
      <c r="B1335" s="2" t="inlineStr">
        <is>
          <t>LG</t>
        </is>
      </c>
      <c r="C1335" s="2" t="inlineStr">
        <is>
          <t>34WQ60C-B</t>
        </is>
      </c>
      <c r="D1335" s="2" t="inlineStr">
        <is>
          <t>Монитор 34" LG 34WQ60C-B Black (IPS, 3440x1440, HDMI+HDMI+DP, 5 ms, 178°/178°, 300 cd/m, 1000:1, 60Hz, Curved 3800R)</t>
        </is>
      </c>
      <c r="E1335" s="2">
        <v>10</v>
      </c>
      <c r="F1335" s="2">
        <v>10</v>
      </c>
      <c r="H1335" s="2">
        <v>461</v>
      </c>
      <c r="I1335" s="2" t="inlineStr">
        <is>
          <t>$</t>
        </is>
      </c>
      <c r="J1335" s="2">
        <f>HYPERLINK("https://app.astro.lead-studio.pro/product/797aa7a8-5151-4f62-92be-b295455c7e03")</f>
      </c>
    </row>
    <row r="1336" spans="1:10" customHeight="0">
      <c r="A1336" s="2" t="inlineStr">
        <is>
          <t>Мониторы</t>
        </is>
      </c>
      <c r="B1336" s="2" t="inlineStr">
        <is>
          <t>LG</t>
        </is>
      </c>
      <c r="C1336" s="2" t="inlineStr">
        <is>
          <t>34WR50QC-B||bp</t>
        </is>
      </c>
      <c r="D1336" s="2" t="inlineStr">
        <is>
          <t>Монитор Bad pack 34" LG 34WR50QC-B Black (VA, 3440x1440, HDMI+DP, 5 ms, 178°/178°, 300 cd/m, 3000:1, 100Hz, Curved)</t>
        </is>
      </c>
      <c r="E1336" s="2">
        <v>1</v>
      </c>
      <c r="F1336" s="2">
        <v>1</v>
      </c>
      <c r="H1336" s="2">
        <v>374</v>
      </c>
      <c r="I1336" s="2" t="inlineStr">
        <is>
          <t>$</t>
        </is>
      </c>
      <c r="J1336" s="2">
        <f>HYPERLINK("https://app.astro.lead-studio.pro/product/f03d08d6-5f26-4060-bcbf-33e4fa091d82")</f>
      </c>
    </row>
    <row r="1337" spans="1:10" customHeight="0">
      <c r="A1337" s="2" t="inlineStr">
        <is>
          <t>Мониторы</t>
        </is>
      </c>
      <c r="B1337" s="2" t="inlineStr">
        <is>
          <t>LG</t>
        </is>
      </c>
      <c r="C1337" s="2" t="inlineStr">
        <is>
          <t>34WR50QK-B</t>
        </is>
      </c>
      <c r="D1337" s="2" t="inlineStr">
        <is>
          <t>Монитор 34" LG 34WR50QK-B Black (VA, 3440x1440, HDMI+HDMI+DP, 5 ms, 178°/178°, 300 cd/m, 3000:1, 100Hz, Curved)</t>
        </is>
      </c>
      <c r="E1337" s="2">
        <v>10</v>
      </c>
      <c r="F1337" s="2">
        <v>10</v>
      </c>
      <c r="H1337" s="2">
        <v>337</v>
      </c>
      <c r="I1337" s="2" t="inlineStr">
        <is>
          <t>$</t>
        </is>
      </c>
      <c r="J1337" s="2">
        <f>HYPERLINK("https://app.astro.lead-studio.pro/product/e27f2e55-c94d-4288-a911-50f74e84595d")</f>
      </c>
    </row>
    <row r="1338" spans="1:10" customHeight="0">
      <c r="A1338" s="2" t="inlineStr">
        <is>
          <t>Мониторы</t>
        </is>
      </c>
      <c r="B1338" s="2" t="inlineStr">
        <is>
          <t>ASUS</t>
        </is>
      </c>
      <c r="C1338" s="2" t="inlineStr">
        <is>
          <t>90LM04I0-B03170</t>
        </is>
      </c>
      <c r="D1338" s="2" t="inlineStr">
        <is>
          <t>Монитор ASUS VG32VQR GAMING BK/1MS(MPRT) /EU/HDMI*2+DP</t>
        </is>
      </c>
      <c r="E1338" s="2">
        <v>14</v>
      </c>
      <c r="F1338" s="2">
        <v>14</v>
      </c>
      <c r="H1338" s="2">
        <v>490</v>
      </c>
      <c r="I1338" s="2" t="inlineStr">
        <is>
          <t>$</t>
        </is>
      </c>
      <c r="J1338" s="2">
        <f>HYPERLINK("https://app.astro.lead-studio.pro/product/984b4595-a78d-450b-9434-98aab8df852c")</f>
      </c>
    </row>
    <row r="1339" spans="1:10" customHeight="0">
      <c r="A1339" s="2" t="inlineStr">
        <is>
          <t>Мониторы</t>
        </is>
      </c>
      <c r="B1339" s="2" t="inlineStr">
        <is>
          <t>ASUS</t>
        </is>
      </c>
      <c r="C1339" s="2" t="inlineStr">
        <is>
          <t>90LM0661-B02170</t>
        </is>
      </c>
      <c r="D1339" s="2" t="inlineStr">
        <is>
          <t>Монитор ASUS VG32VQ1BR GAMING BK/1MS(MPRT)/EU /HDMI*2+DP (988827)</t>
        </is>
      </c>
      <c r="E1339" s="2">
        <v>29</v>
      </c>
      <c r="F1339" s="2">
        <v>29</v>
      </c>
      <c r="H1339" s="2">
        <v>466</v>
      </c>
      <c r="I1339" s="2" t="inlineStr">
        <is>
          <t>$</t>
        </is>
      </c>
      <c r="J1339" s="2">
        <f>HYPERLINK("https://app.astro.lead-studio.pro/product/c96ddaf1-dd79-4525-ad06-53a5562a34bd")</f>
      </c>
    </row>
    <row r="1340" spans="1:10" customHeight="0">
      <c r="A1340" s="2" t="inlineStr">
        <is>
          <t>Мониторы</t>
        </is>
      </c>
      <c r="B1340" s="2" t="inlineStr">
        <is>
          <t>ASUS</t>
        </is>
      </c>
      <c r="C1340" s="2" t="inlineStr">
        <is>
          <t>90LM07L0-B02370</t>
        </is>
      </c>
      <c r="D1340" s="2" t="inlineStr">
        <is>
          <t>Монитор AS VG32AQA1A GAMING BK /1MS(MPRT)/EU/HDMI*2+DP </t>
        </is>
      </c>
      <c r="E1340" s="2">
        <v>44</v>
      </c>
      <c r="F1340" s="2">
        <v>44</v>
      </c>
      <c r="H1340" s="2">
        <v>475</v>
      </c>
      <c r="I1340" s="2" t="inlineStr">
        <is>
          <t>$</t>
        </is>
      </c>
      <c r="J1340" s="2">
        <f>HYPERLINK("https://app.astro.lead-studio.pro/product/be1fb8dc-479a-4db8-939a-61000b76306b")</f>
      </c>
    </row>
    <row r="1341" spans="1:10" customHeight="0">
      <c r="A1341" s="2" t="inlineStr">
        <is>
          <t>Мониторы</t>
        </is>
      </c>
      <c r="B1341" s="2" t="inlineStr">
        <is>
          <t>ASUS</t>
        </is>
      </c>
      <c r="C1341" s="2" t="inlineStr">
        <is>
          <t>90LM08I0-B01170</t>
        </is>
      </c>
      <c r="D1341" s="2" t="inlineStr">
        <is>
          <t>Монитор AS XG49WCR GAMING BK/1MS(MPRT)/EU </t>
        </is>
      </c>
      <c r="E1341" s="2">
        <v>5</v>
      </c>
      <c r="F1341" s="2">
        <v>5</v>
      </c>
      <c r="H1341" s="2">
        <v>1262</v>
      </c>
      <c r="I1341" s="2" t="inlineStr">
        <is>
          <t>$</t>
        </is>
      </c>
      <c r="J1341" s="2">
        <f>HYPERLINK("https://app.astro.lead-studio.pro/product/f51bb135-0184-4fff-afb6-9774d18dcce1")</f>
      </c>
    </row>
    <row r="1342" spans="1:10" customHeight="0">
      <c r="A1342" s="2" t="inlineStr">
        <is>
          <t>Мониторы</t>
        </is>
      </c>
      <c r="B1342" s="2" t="inlineStr">
        <is>
          <t>BenQ</t>
        </is>
      </c>
      <c r="C1342" s="2" t="inlineStr">
        <is>
          <t>9H.LK4LA.TBE</t>
        </is>
      </c>
      <c r="D1342" s="2" t="inlineStr">
        <is>
          <t>Монитор BenQ 27" EX2710Q Black (IPS, 2560x1440, HDMI+HDMI+DP, 1 ms, 178°/178°, 400 cd/m, 1000:1, 165Hz, MM (085840)</t>
        </is>
      </c>
      <c r="E1342" s="2">
        <v>10</v>
      </c>
      <c r="F1342" s="2">
        <v>10</v>
      </c>
      <c r="H1342" s="2">
        <v>391</v>
      </c>
      <c r="I1342" s="2" t="inlineStr">
        <is>
          <t>$</t>
        </is>
      </c>
      <c r="J1342" s="2">
        <f>HYPERLINK("https://app.astro.lead-studio.pro/product/d2365960-7db2-4d29-bd50-3b2788deebbc")</f>
      </c>
    </row>
    <row r="1343" spans="1:10" customHeight="0">
      <c r="A1343" s="2" t="inlineStr">
        <is>
          <t>Мониторы</t>
        </is>
      </c>
      <c r="B1343" s="2" t="inlineStr">
        <is>
          <t>MSI</t>
        </is>
      </c>
      <c r="C1343" s="2" t="inlineStr">
        <is>
          <t>9S6-3CC29H-204||bp</t>
        </is>
      </c>
      <c r="D1343" s="2" t="inlineStr">
        <is>
          <t>Монитор Bad Pack 27" MSI MAG 274UPF Black (Rapid IPS, 3840x2160, HDMI+HDMI+DP+Type C, USB Hub, 1 ms, 178°/178°, 400 cd/m, 1000:1 (100M:1), 144Hz, Pivot) bp</t>
        </is>
      </c>
      <c r="E1343" s="2">
        <v>1</v>
      </c>
      <c r="F1343" s="2">
        <v>1</v>
      </c>
      <c r="H1343" s="2">
        <v>612</v>
      </c>
      <c r="I1343" s="2" t="inlineStr">
        <is>
          <t>$</t>
        </is>
      </c>
      <c r="J1343" s="2">
        <f>HYPERLINK("https://app.astro.lead-studio.pro/product/4af803d0-b04b-482f-9f26-a760b30ee15e")</f>
      </c>
    </row>
    <row r="1344" spans="1:10" customHeight="0">
      <c r="A1344" s="2" t="inlineStr">
        <is>
          <t>Мониторы</t>
        </is>
      </c>
      <c r="B1344" s="2" t="inlineStr">
        <is>
          <t>MSI</t>
        </is>
      </c>
      <c r="C1344" s="2" t="inlineStr">
        <is>
          <t>9S6-3CC29H-275</t>
        </is>
      </c>
      <c r="D1344" s="2" t="inlineStr">
        <is>
          <t>Монитор 27" MSI MPG 274URF QD Black (Rapid IPS, 3840x2160, HDMI+HDMI+DP+Type C, 1 ms, 178°/178°, 400 cd/m, 1000:1 (100M:1), 160Hz)</t>
        </is>
      </c>
      <c r="E1344" s="2">
        <v>50</v>
      </c>
      <c r="F1344" s="2">
        <v>50</v>
      </c>
      <c r="H1344" s="2">
        <v>577</v>
      </c>
      <c r="I1344" s="2" t="inlineStr">
        <is>
          <t>$</t>
        </is>
      </c>
      <c r="J1344" s="2">
        <f>HYPERLINK("https://app.astro.lead-studio.pro/product/bec76f05-b9c8-4fd0-9d32-dd3775a72d74")</f>
      </c>
    </row>
    <row r="1345" spans="1:10" customHeight="0">
      <c r="A1345" s="2" t="inlineStr">
        <is>
          <t>Мониторы</t>
        </is>
      </c>
      <c r="B1345" s="2" t="inlineStr">
        <is>
          <t>MSI</t>
        </is>
      </c>
      <c r="C1345" s="2" t="inlineStr">
        <is>
          <t>9S6-3CC29H-276</t>
        </is>
      </c>
      <c r="D1345" s="2" t="inlineStr">
        <is>
          <t>Монитор MSI MAG 274QRF QD E2 27" Black (Rapid IPS, 2560x1440, HDMI+HDMI+DP+Type C, USB Hub, 1 ms, 178°/178°, 400 cd/m, 1000:1 (100M:1), 180Hz)</t>
        </is>
      </c>
      <c r="E1345" s="2">
        <v>17</v>
      </c>
      <c r="F1345" s="2">
        <v>17</v>
      </c>
      <c r="H1345" s="2">
        <v>348</v>
      </c>
      <c r="I1345" s="2" t="inlineStr">
        <is>
          <t>$</t>
        </is>
      </c>
      <c r="J1345" s="2">
        <f>HYPERLINK("https://app.astro.lead-studio.pro/product/dc50d25b-e75e-4865-91a4-e4b44b48d288")</f>
      </c>
    </row>
    <row r="1346" spans="1:10" customHeight="0">
      <c r="A1346" s="2" t="inlineStr">
        <is>
          <t>Мониторы</t>
        </is>
      </c>
      <c r="B1346" s="2" t="inlineStr">
        <is>
          <t>MSI</t>
        </is>
      </c>
      <c r="C1346" s="2" t="inlineStr">
        <is>
          <t>9S6-3CC29H-430||bp</t>
        </is>
      </c>
      <c r="D1346" s="2" t="inlineStr">
        <is>
          <t>Монитор Bad Pack 27" MSI MAG 274URFW White (Rapid IPS, 3840x2160, HDMI+HDMI+DP+Type C, 1 ms, 178°/178°, 400 cd/m, 1000:1 (100M:1), 160Hz)</t>
        </is>
      </c>
      <c r="E1346" s="2">
        <v>5</v>
      </c>
      <c r="F1346" s="2">
        <v>5</v>
      </c>
      <c r="H1346" s="2">
        <v>460</v>
      </c>
      <c r="I1346" s="2" t="inlineStr">
        <is>
          <t>$</t>
        </is>
      </c>
      <c r="J1346" s="2">
        <f>HYPERLINK("https://app.astro.lead-studio.pro/product/4447fa04-8150-49c6-b166-10cd642343e5")</f>
      </c>
    </row>
    <row r="1347" spans="1:10" customHeight="0">
      <c r="A1347" s="2" t="inlineStr">
        <is>
          <t>Мониторы</t>
        </is>
      </c>
      <c r="B1347" s="2" t="inlineStr">
        <is>
          <t>MSI</t>
        </is>
      </c>
      <c r="C1347" s="2" t="inlineStr">
        <is>
          <t>9S6-3CC29H-431</t>
        </is>
      </c>
      <c r="D1347" s="2" t="inlineStr">
        <is>
          <t>Монитор 27" MSI MAG 274UPF E2 Black (Rapid IPS, 3840x2160, HDMI+HDMI+DP+Type C, 1 ms, 178°/178°, 400 cd/m, 1000:1 (100M:1), 160Hz)</t>
        </is>
      </c>
      <c r="E1347" s="2">
        <v>12</v>
      </c>
      <c r="F1347" s="2">
        <v>12</v>
      </c>
      <c r="H1347" s="2">
        <v>452</v>
      </c>
      <c r="I1347" s="2" t="inlineStr">
        <is>
          <t>$</t>
        </is>
      </c>
      <c r="J1347" s="2">
        <f>HYPERLINK("https://app.astro.lead-studio.pro/product/0e38280c-3232-45b4-9620-42dcd7bc1345")</f>
      </c>
    </row>
    <row r="1348" spans="1:10" customHeight="0">
      <c r="A1348" s="2" t="inlineStr">
        <is>
          <t>Мониторы</t>
        </is>
      </c>
      <c r="B1348" s="2" t="inlineStr">
        <is>
          <t>MSI</t>
        </is>
      </c>
      <c r="C1348" s="2" t="inlineStr">
        <is>
          <t>9S6-3CD04H-061</t>
        </is>
      </c>
      <c r="D1348" s="2" t="inlineStr">
        <is>
          <t>Монитор 27" MSI MPG 275CQRXF Black (Rapid VA, 2560x1440, HDMI+HDMI+DP+Type C, USB, 1 ms, 178°/178°, 400 cd/m, 4000:1 (100M:1), 240Hz, Curved 1500R)</t>
        </is>
      </c>
      <c r="E1348" s="2">
        <v>22</v>
      </c>
      <c r="F1348" s="2">
        <v>22</v>
      </c>
      <c r="H1348" s="2">
        <v>397</v>
      </c>
      <c r="I1348" s="2" t="inlineStr">
        <is>
          <t>$</t>
        </is>
      </c>
      <c r="J1348" s="2">
        <f>HYPERLINK("https://app.astro.lead-studio.pro/product/cdce852d-48aa-4102-8814-e0aede7f79df")</f>
      </c>
    </row>
    <row r="1349" spans="1:10" customHeight="0">
      <c r="A1349" s="2" t="inlineStr">
        <is>
          <t>Мониторы</t>
        </is>
      </c>
      <c r="B1349" s="2" t="inlineStr">
        <is>
          <t>MSI</t>
        </is>
      </c>
      <c r="C1349" s="2" t="inlineStr">
        <is>
          <t>9S6-3CD89T-019||bp</t>
        </is>
      </c>
      <c r="D1349" s="2" t="inlineStr">
        <is>
          <t>Монитор Bad Pack 26.5" MSI MAG 271QPX QD-OLED Black (QD-OLED, 2560x1440, HDMI+HDMI+DP+Type C, 0.03 ms, 178°/178°, 250 cd/m, 1500000:1, 360Hz, Pivot)</t>
        </is>
      </c>
      <c r="E1349" s="2">
        <v>1</v>
      </c>
      <c r="F1349" s="2">
        <v>1</v>
      </c>
      <c r="H1349" s="2">
        <v>1237</v>
      </c>
      <c r="I1349" s="2" t="inlineStr">
        <is>
          <t>$</t>
        </is>
      </c>
      <c r="J1349" s="2">
        <f>HYPERLINK("https://app.astro.lead-studio.pro/product/776d44fe-87e8-41fb-b1d3-918238f8077e")</f>
      </c>
    </row>
    <row r="1350" spans="1:10" customHeight="0">
      <c r="A1350" s="2" t="inlineStr">
        <is>
          <t>Мониторы</t>
        </is>
      </c>
      <c r="B1350" s="2" t="inlineStr">
        <is>
          <t>MSI</t>
        </is>
      </c>
      <c r="C1350" s="2" t="inlineStr">
        <is>
          <t>9S6-3DA98T-028</t>
        </is>
      </c>
      <c r="D1350" s="2" t="inlineStr">
        <is>
          <t>Монитор MSI Summit MS321UP 32" Black (IPS, 3840x2160, HDMI+HDMI+DP+Type C, USB Hub, 4 ms, 178°/178°, 400 cd/m, 1000:1 (100M:1), 60Hz)</t>
        </is>
      </c>
      <c r="E1350" s="2">
        <v>3</v>
      </c>
      <c r="F1350" s="2">
        <v>3</v>
      </c>
      <c r="H1350" s="2">
        <v>765</v>
      </c>
      <c r="I1350" s="2" t="inlineStr">
        <is>
          <t>$</t>
        </is>
      </c>
      <c r="J1350" s="2">
        <f>HYPERLINK("https://app.astro.lead-studio.pro/product/62825cda-18d9-4f24-9fee-e14497e4c90a")</f>
      </c>
    </row>
    <row r="1351" spans="1:10" customHeight="0">
      <c r="A1351" s="2" t="inlineStr">
        <is>
          <t>Мониторы</t>
        </is>
      </c>
      <c r="B1351" s="2" t="inlineStr">
        <is>
          <t>MSI</t>
        </is>
      </c>
      <c r="C1351" s="2" t="inlineStr">
        <is>
          <t>9S6-3DB51T-034||bp</t>
        </is>
      </c>
      <c r="D1351" s="2" t="inlineStr">
        <is>
          <t>Монитор Bad Pack 31.5" MSI G32CQ4 E2 Black (VA, 2560x1440, HDMI+HDMI+DP, 1 ms, 178°/178°, 250 cd/m, 3000:1 (100M:1), 170Hz, Curved)</t>
        </is>
      </c>
      <c r="E1351" s="2">
        <v>1</v>
      </c>
      <c r="F1351" s="2">
        <v>1</v>
      </c>
      <c r="H1351" s="2">
        <v>324</v>
      </c>
      <c r="I1351" s="2" t="inlineStr">
        <is>
          <t>$</t>
        </is>
      </c>
      <c r="J1351" s="2">
        <f>HYPERLINK("https://app.astro.lead-studio.pro/product/32e2aeaa-401f-4ad3-ab34-b7cd218409ac")</f>
      </c>
    </row>
    <row r="1352" spans="1:10" customHeight="0">
      <c r="A1352" s="2" t="inlineStr">
        <is>
          <t>Мониторы</t>
        </is>
      </c>
      <c r="B1352" s="2" t="inlineStr">
        <is>
          <t>MSI</t>
        </is>
      </c>
      <c r="C1352" s="2" t="inlineStr">
        <is>
          <t>9S6-3DC79T-014</t>
        </is>
      </c>
      <c r="D1352" s="2" t="inlineStr">
        <is>
          <t>Монитор 32" MSI MAG 322UPF Black (Rapid IPS, 3840x2160, HDMI+HDMI+DP, 1 ms, 178°/178°, 350 cd/m, 1000:1 (100M:1), 160Hz)</t>
        </is>
      </c>
      <c r="E1352" s="2">
        <v>23</v>
      </c>
      <c r="F1352" s="2">
        <v>23</v>
      </c>
      <c r="H1352" s="2">
        <v>862</v>
      </c>
      <c r="I1352" s="2" t="inlineStr">
        <is>
          <t>$</t>
        </is>
      </c>
      <c r="J1352" s="2">
        <f>HYPERLINK("https://app.astro.lead-studio.pro/product/c998bf3d-e332-438b-9416-d6147a509abb")</f>
      </c>
    </row>
    <row r="1353" spans="1:10" customHeight="0">
      <c r="A1353" s="2" t="inlineStr">
        <is>
          <t>Мониторы</t>
        </is>
      </c>
      <c r="B1353" s="2" t="inlineStr">
        <is>
          <t>MSI</t>
        </is>
      </c>
      <c r="C1353" s="2" t="inlineStr">
        <is>
          <t>9S6-3DD04T-010</t>
        </is>
      </c>
      <c r="D1353" s="2" t="inlineStr">
        <is>
          <t>Монитор MSI MAG 341CQP QD-OLED 34.18" Black (QD-OLED, 3440x1440, HDMI+HDMI+DP+Type C, USB Hub, 0.03 ms, 178°/178°, 250 cd/m, 1500000:1, 175Hz, Curved)</t>
        </is>
      </c>
      <c r="E1353" s="2">
        <v>3</v>
      </c>
      <c r="F1353" s="2">
        <v>3</v>
      </c>
      <c r="H1353" s="2">
        <v>1204</v>
      </c>
      <c r="I1353" s="2" t="inlineStr">
        <is>
          <t>$</t>
        </is>
      </c>
      <c r="J1353" s="2">
        <f>HYPERLINK("https://app.astro.lead-studio.pro/product/c6a18170-31f6-4a55-8746-87f8991248c0")</f>
      </c>
    </row>
    <row r="1354" spans="1:10" customHeight="0">
      <c r="A1354" s="2" t="inlineStr">
        <is>
          <t>Мониторы</t>
        </is>
      </c>
      <c r="B1354" s="2" t="inlineStr">
        <is>
          <t>MSI</t>
        </is>
      </c>
      <c r="C1354" s="2" t="inlineStr">
        <is>
          <t>9S6-3DD14H-022</t>
        </is>
      </c>
      <c r="D1354" s="2" t="inlineStr">
        <is>
          <t>Монитор 34" MSI MAG 345CQR Black (VA, 3440x1440, HDMI+HDMI+DP, 1 ms, 178°/178°, 300 cd/m, 3000:1 (100M:1), 180Hz, Curved 1000R)</t>
        </is>
      </c>
      <c r="E1354" s="2">
        <v>18</v>
      </c>
      <c r="F1354" s="2">
        <v>18</v>
      </c>
      <c r="H1354" s="2">
        <v>453</v>
      </c>
      <c r="I1354" s="2" t="inlineStr">
        <is>
          <t>$</t>
        </is>
      </c>
      <c r="J1354" s="2">
        <f>HYPERLINK("https://app.astro.lead-studio.pro/product/78e7f410-a0b3-4d4f-b412-8f47adc2358e")</f>
      </c>
    </row>
    <row r="1355" spans="1:10" customHeight="0">
      <c r="A1355" s="2" t="inlineStr">
        <is>
          <t>Мониторы</t>
        </is>
      </c>
      <c r="B1355" s="2" t="inlineStr">
        <is>
          <t>MSI</t>
        </is>
      </c>
      <c r="C1355" s="2" t="inlineStr">
        <is>
          <t>9S6-3FA84T-010</t>
        </is>
      </c>
      <c r="D1355" s="2" t="inlineStr">
        <is>
          <t>Монитор 49" MSI MPG 491CQP QD-OLED Black (QD-OLED, 5120x1440, HDMI+HDMI+DP+Type C, 0.03 ms, 178°/178°, 250 cd/m, 1500000:1, 144Hz, Curved)</t>
        </is>
      </c>
      <c r="E1355" s="2">
        <v>26</v>
      </c>
      <c r="F1355" s="2">
        <v>26</v>
      </c>
      <c r="H1355" s="2">
        <v>2142</v>
      </c>
      <c r="I1355" s="2" t="inlineStr">
        <is>
          <t>$</t>
        </is>
      </c>
      <c r="J1355" s="2">
        <f>HYPERLINK("https://app.astro.lead-studio.pro/product/18653e89-6cc4-4c91-a1a0-431f8236a78f")</f>
      </c>
    </row>
    <row r="1356" spans="1:10" customHeight="0">
      <c r="A1356" s="2" t="inlineStr">
        <is>
          <t>Мониторы</t>
        </is>
      </c>
      <c r="B1356" s="2" t="inlineStr">
        <is>
          <t>MSI</t>
        </is>
      </c>
      <c r="C1356" s="2" t="inlineStr">
        <is>
          <t>9S6-3PC59H-031</t>
        </is>
      </c>
      <c r="D1356" s="2" t="inlineStr">
        <is>
          <t>Монитор 34" MSI Modern MD342CQP Black (VA, 3440x1440, HDMI+HDMI+DP+Type C, USB, 1 ms, 178°/178°, 300 cd/m, 3000:1 (100M:1), 120Hz, Curved 1500R)</t>
        </is>
      </c>
      <c r="E1356" s="2">
        <v>21</v>
      </c>
      <c r="F1356" s="2">
        <v>21</v>
      </c>
      <c r="H1356" s="2">
        <v>377</v>
      </c>
      <c r="I1356" s="2" t="inlineStr">
        <is>
          <t>$</t>
        </is>
      </c>
      <c r="J1356" s="2">
        <f>HYPERLINK("https://app.astro.lead-studio.pro/product/0a1be008-aee2-4112-a7f0-6a29744d8653")</f>
      </c>
    </row>
    <row r="1357" spans="1:10" customHeight="0">
      <c r="A1357" s="2" t="inlineStr">
        <is>
          <t>Мониторы</t>
        </is>
      </c>
      <c r="B1357" s="2" t="inlineStr">
        <is>
          <t>AOC</t>
        </is>
      </c>
      <c r="C1357" s="2" t="inlineStr">
        <is>
          <t>AG275QXN</t>
        </is>
      </c>
      <c r="D1357" s="2" t="inlineStr">
        <is>
          <t>Монитор 27" AOC AG275QXN Black (VA, 2560x1440, HDMI+HDMI+DP, USB HUB, 1 ms, 178°/178°, 400 cd/m, 1000:1, 165Hz)</t>
        </is>
      </c>
      <c r="E1357" s="2">
        <v>30</v>
      </c>
      <c r="F1357" s="2">
        <v>30</v>
      </c>
      <c r="H1357" s="2">
        <v>341</v>
      </c>
      <c r="I1357" s="2" t="inlineStr">
        <is>
          <t>$</t>
        </is>
      </c>
      <c r="J1357" s="2">
        <f>HYPERLINK("https://app.astro.lead-studio.pro/product/5982e1d0-5c0a-46c2-82de-8743d84ca225")</f>
      </c>
    </row>
    <row r="1358" spans="1:10" customHeight="0">
      <c r="A1358" s="2" t="inlineStr">
        <is>
          <t>Мониторы</t>
        </is>
      </c>
      <c r="B1358" s="2" t="inlineStr">
        <is>
          <t>AORUS</t>
        </is>
      </c>
      <c r="C1358" s="2" t="inlineStr">
        <is>
          <t>AORUS CO49DQ-EK</t>
        </is>
      </c>
      <c r="D1358" s="2" t="inlineStr">
        <is>
          <t>Монитор 49" Gigabyte AORUS CO49DQ-EK Gaming monitor Black (OLED, 5120x1440, HDMI+HDMI+DP+Type C, 0.03 ms, 178°/178°, 250 cd/m, 1500000:1, 2xUSB3.2, 144Hz, Curved) (20VM0-CO49DQBT-1EKR)</t>
        </is>
      </c>
      <c r="E1358" s="2">
        <v>4</v>
      </c>
      <c r="F1358" s="2">
        <v>4</v>
      </c>
      <c r="H1358" s="2">
        <v>1450</v>
      </c>
      <c r="I1358" s="2" t="inlineStr">
        <is>
          <t>$</t>
        </is>
      </c>
      <c r="J1358" s="2">
        <f>HYPERLINK("https://app.astro.lead-studio.pro/product/14b13526-db68-46fd-9f1a-c978a949e38d")</f>
      </c>
    </row>
    <row r="1359" spans="1:10" customHeight="0">
      <c r="A1359" s="2" t="inlineStr">
        <is>
          <t>Мониторы</t>
        </is>
      </c>
      <c r="B1359" s="2" t="inlineStr">
        <is>
          <t>Lime</t>
        </is>
      </c>
      <c r="C1359" s="2" t="inlineStr">
        <is>
          <t>C270</t>
        </is>
      </c>
      <c r="D1359" s="2" t="inlineStr">
        <is>
          <t>Монитор 27" Lime C270 Black (OLED, 2560x1440, HDMI+DP+Type C (65W) +USB In/2xOut+Audio out +DC, 0.1 ms, 178°/178°, 300 cd/m, 150000:1, 10 bit, 240Hz, MM, Pivot, Freesync/G-sync, Flat)</t>
        </is>
      </c>
      <c r="E1359" s="2">
        <v>43</v>
      </c>
      <c r="F1359" s="2">
        <v>43</v>
      </c>
      <c r="H1359" s="2">
        <v>802</v>
      </c>
      <c r="I1359" s="2" t="inlineStr">
        <is>
          <t>$</t>
        </is>
      </c>
      <c r="J1359" s="2">
        <f>HYPERLINK("https://app.astro.lead-studio.pro/product/52816c53-ea2c-4046-be2c-5d9b62089eb5")</f>
      </c>
    </row>
    <row r="1360" spans="1:10" customHeight="0">
      <c r="A1360" s="2" t="inlineStr">
        <is>
          <t>Мониторы</t>
        </is>
      </c>
      <c r="B1360" s="2" t="inlineStr">
        <is>
          <t>AOC</t>
        </is>
      </c>
      <c r="C1360" s="2" t="inlineStr">
        <is>
          <t>CQ32G2SE/BK</t>
        </is>
      </c>
      <c r="D1360" s="2" t="inlineStr">
        <is>
          <t>Монитор AOC 31.5" CQ32G2SE/BK Black (VA, 2560x1440, HDMI+HDMI+DP, 1 ms, 178°/178°, 250 cd/m, 3000:1 (80M:1), 165Hz, MM, Curved) (118439)</t>
        </is>
      </c>
      <c r="E1360" s="2">
        <v>50</v>
      </c>
      <c r="F1360" s="2">
        <v>50</v>
      </c>
      <c r="H1360" s="2">
        <v>341</v>
      </c>
      <c r="I1360" s="2" t="inlineStr">
        <is>
          <t>$</t>
        </is>
      </c>
      <c r="J1360" s="2">
        <f>HYPERLINK("https://app.astro.lead-studio.pro/product/2f83fd24-cad7-4132-bc58-6566350201b9")</f>
      </c>
    </row>
    <row r="1361" spans="1:10" customHeight="0">
      <c r="A1361" s="2" t="inlineStr">
        <is>
          <t>Мониторы</t>
        </is>
      </c>
      <c r="B1361" s="2" t="inlineStr">
        <is>
          <t>AOC</t>
        </is>
      </c>
      <c r="C1361" s="2" t="inlineStr">
        <is>
          <t>CU34G2XP</t>
        </is>
      </c>
      <c r="D1361" s="2" t="inlineStr">
        <is>
          <t>Монитор 34" AOC CU34G2XP Black (VA, изогнутый, 3440x1440, 180Hz, 1 ms, 178°/178°, 80M:1, +2xHDMI 2.0, +2xDisplayPort 1.4, +4xUSB 3.0, +MM, +регулировка по высоте)</t>
        </is>
      </c>
      <c r="E1361" s="2">
        <v>37</v>
      </c>
      <c r="F1361" s="2">
        <v>37</v>
      </c>
      <c r="H1361" s="2">
        <v>387</v>
      </c>
      <c r="I1361" s="2" t="inlineStr">
        <is>
          <t>$</t>
        </is>
      </c>
      <c r="J1361" s="2">
        <f>HYPERLINK("https://app.astro.lead-studio.pro/product/154fd549-6e6e-4024-bc4a-a78ff3b724b7")</f>
      </c>
    </row>
    <row r="1362" spans="1:10" customHeight="0">
      <c r="A1362" s="2" t="inlineStr">
        <is>
          <t>Мониторы</t>
        </is>
      </c>
      <c r="B1362" s="2" t="inlineStr">
        <is>
          <t>Xiaomi</t>
        </is>
      </c>
      <c r="C1362" s="2" t="inlineStr">
        <is>
          <t>ELA5454EU</t>
        </is>
      </c>
      <c r="D1362" s="2" t="inlineStr">
        <is>
          <t>Монитор 34" Xiaomi Curved Gaming Monitor G34WQi Black (VA, 3440x1440,  HDMI+HDMI+DP+DP, 1 ms, 178°/178°, 350 cd/m, 4000:1, 180Hz) (ELA5454EU)</t>
        </is>
      </c>
      <c r="E1362" s="2">
        <v>50</v>
      </c>
      <c r="F1362" s="2">
        <v>50</v>
      </c>
      <c r="H1362" s="2">
        <v>331</v>
      </c>
      <c r="I1362" s="2" t="inlineStr">
        <is>
          <t>$</t>
        </is>
      </c>
      <c r="J1362" s="2">
        <f>HYPERLINK("https://app.astro.lead-studio.pro/product/9c1d9121-c615-4c03-b999-bca6d200c3d3")</f>
      </c>
    </row>
    <row r="1363" spans="1:10" customHeight="0">
      <c r="A1363" s="2" t="inlineStr">
        <is>
          <t>Мониторы</t>
        </is>
      </c>
      <c r="B1363" s="2" t="inlineStr">
        <is>
          <t>Xiaomi</t>
        </is>
      </c>
      <c r="C1363" s="2" t="inlineStr">
        <is>
          <t>ELA5585EU</t>
        </is>
      </c>
      <c r="D1363" s="2" t="inlineStr">
        <is>
          <t>Монитор 27" Xiaomi Mini LED Gaming Monitor G Pro 27i Black-White (Fast IPS, 2560x1440,  HDMI+HDMI+DP+DP, 1 ms, 178°/178°, 600 cd/m, 1000:1, 180Hz) (ELA5585EU)</t>
        </is>
      </c>
      <c r="E1363" s="2">
        <v>9</v>
      </c>
      <c r="F1363" s="2">
        <v>9</v>
      </c>
      <c r="H1363" s="2">
        <v>415</v>
      </c>
      <c r="I1363" s="2" t="inlineStr">
        <is>
          <t>$</t>
        </is>
      </c>
      <c r="J1363" s="2">
        <f>HYPERLINK("https://app.astro.lead-studio.pro/product/f3b370ed-169b-4386-9183-3c019b276897")</f>
      </c>
    </row>
    <row r="1364" spans="1:10" customHeight="0">
      <c r="A1364" s="2" t="inlineStr">
        <is>
          <t>Мониторы</t>
        </is>
      </c>
      <c r="B1364" s="2" t="inlineStr">
        <is>
          <t>BenQ</t>
        </is>
      </c>
      <c r="C1364" s="2" t="inlineStr">
        <is>
          <t>EX3210U</t>
        </is>
      </c>
      <c r="D1364" s="2" t="inlineStr">
        <is>
          <t>Монитор 31.5'' Benq Mobiuz EX3210U (3840x2160, IPS, 144Hz, 1000:1, 600cd, 1ms, 3xHDMI, DP, Speakers, 5xUSB, FreeSync, Height adj 100)</t>
        </is>
      </c>
      <c r="E1364" s="2">
        <v>1</v>
      </c>
      <c r="F1364" s="2">
        <v>1</v>
      </c>
      <c r="H1364" s="2">
        <v>1115</v>
      </c>
      <c r="I1364" s="2" t="inlineStr">
        <is>
          <t>$</t>
        </is>
      </c>
      <c r="J1364" s="2">
        <f>HYPERLINK("https://app.astro.lead-studio.pro/product/369a9d7b-bcc4-4c5c-a49f-14ae70d5170b")</f>
      </c>
    </row>
    <row r="1365" spans="1:10" customHeight="0">
      <c r="A1365" s="2" t="inlineStr">
        <is>
          <t>Мониторы</t>
        </is>
      </c>
      <c r="B1365" s="2" t="inlineStr">
        <is>
          <t>KTC</t>
        </is>
      </c>
      <c r="C1365" s="2" t="inlineStr">
        <is>
          <t>G27P6</t>
        </is>
      </c>
      <c r="D1365" s="2" t="inlineStr">
        <is>
          <t>Монитор 27" KTC G27P6 Black-Silver (OLED, 2560x1440, HDMI+HDMI+DP+Type C 65W, 0.03 ms, 178°/178°, 450 cd/m, 1500000:1, 240Hz, FreeSync/G-Sync, MM, Pivot)</t>
        </is>
      </c>
      <c r="E1365" s="2">
        <v>45</v>
      </c>
      <c r="F1365" s="2">
        <v>45</v>
      </c>
      <c r="H1365" s="2">
        <v>939</v>
      </c>
      <c r="I1365" s="2" t="inlineStr">
        <is>
          <t>$</t>
        </is>
      </c>
      <c r="J1365" s="2">
        <f>HYPERLINK("https://app.astro.lead-studio.pro/product/a951d046-e584-444f-91f9-a80aed14f603")</f>
      </c>
    </row>
    <row r="1366" spans="1:10" customHeight="0">
      <c r="A1366" s="2" t="inlineStr">
        <is>
          <t>Мониторы</t>
        </is>
      </c>
      <c r="B1366" s="2" t="inlineStr">
        <is>
          <t>Gigabyte</t>
        </is>
      </c>
      <c r="C1366" s="2" t="inlineStr">
        <is>
          <t>G34WQC A-EK</t>
        </is>
      </c>
      <c r="D1366" s="2" t="inlineStr">
        <is>
          <t>Монитор Gigabyte 34" G34WQC A-EK Gaming monitor Black (VA, 3440x1440, HDMI+HDMI+DP+DP, 1 ms, 178°/178°, 35 cd/m, 4000:1, 144Hz, MM, Curved) (20VM0-G34WQCABI-1EKR) (822842)</t>
        </is>
      </c>
      <c r="E1366" s="2">
        <v>50</v>
      </c>
      <c r="F1366" s="2">
        <v>50</v>
      </c>
      <c r="H1366" s="2">
        <v>420</v>
      </c>
      <c r="I1366" s="2" t="inlineStr">
        <is>
          <t>$</t>
        </is>
      </c>
      <c r="J1366" s="2">
        <f>HYPERLINK("https://app.astro.lead-studio.pro/product/a584b4ce-9f9b-44c0-a21f-b87dc2beafd1")</f>
      </c>
    </row>
    <row r="1367" spans="1:10" customHeight="0">
      <c r="A1367" s="2" t="inlineStr">
        <is>
          <t>Мониторы</t>
        </is>
      </c>
      <c r="B1367" s="2" t="inlineStr">
        <is>
          <t>KTC</t>
        </is>
      </c>
      <c r="C1367" s="2" t="inlineStr">
        <is>
          <t>G42P5</t>
        </is>
      </c>
      <c r="D1367" s="2" t="inlineStr">
        <is>
          <t>Монитор 42" KTC G42P5 White (без подставки) (OLED, 3840x2160, HDMI+HDMI+DP+Type C 90W, USB 3.0 (1 in/2 out), 0.1 ms, 178°/178°, 450 cd/m, 135000:1, 138Hz, FreeSync/G-Sync, HDR10, MM)</t>
        </is>
      </c>
      <c r="E1367" s="2">
        <v>42</v>
      </c>
      <c r="F1367" s="2">
        <v>42</v>
      </c>
      <c r="H1367" s="2">
        <v>1372</v>
      </c>
      <c r="I1367" s="2" t="inlineStr">
        <is>
          <t>$</t>
        </is>
      </c>
      <c r="J1367" s="2">
        <f>HYPERLINK("https://app.astro.lead-studio.pro/product/3192a6cc-0b34-422a-9bb5-a7599d9905cb")</f>
      </c>
    </row>
    <row r="1368" spans="1:10" customHeight="0">
      <c r="A1368" s="2" t="inlineStr">
        <is>
          <t>Мониторы</t>
        </is>
      </c>
      <c r="B1368" s="2" t="inlineStr">
        <is>
          <t>KTC</t>
        </is>
      </c>
      <c r="C1368" s="2" t="inlineStr">
        <is>
          <t>G48P5S</t>
        </is>
      </c>
      <c r="D1368" s="2" t="inlineStr">
        <is>
          <t>Монитор 47.53" KTC G48P5S White (без подставки) (OLED, 3840x2160, HDMI+HDMI+DP+Type C, 0.1 ms, 178°/178°, 450 cd/m, 135000:1, 138Hz, FreeSync/G-Sync, MM)</t>
        </is>
      </c>
      <c r="E1368" s="2">
        <v>15</v>
      </c>
      <c r="F1368" s="2">
        <v>15</v>
      </c>
      <c r="H1368" s="2">
        <v>1455</v>
      </c>
      <c r="I1368" s="2" t="inlineStr">
        <is>
          <t>$</t>
        </is>
      </c>
      <c r="J1368" s="2">
        <f>HYPERLINK("https://app.astro.lead-studio.pro/product/c117fcbc-9827-4098-b5cc-8c2c5aedb624")</f>
      </c>
    </row>
    <row r="1369" spans="1:10" customHeight="0">
      <c r="A1369" s="2" t="inlineStr">
        <is>
          <t>Мониторы</t>
        </is>
      </c>
      <c r="B1369" s="2" t="inlineStr">
        <is>
          <t>KTC</t>
        </is>
      </c>
      <c r="C1369" s="2" t="inlineStr">
        <is>
          <t>H27P22S</t>
        </is>
      </c>
      <c r="D1369" s="2" t="inlineStr">
        <is>
          <t>Монитор 27" KTC H27P22S Black (Fast IPS, 3840x2160, HDMI+HDMI+DP+DP, 1 ms, 178°/178°, 400 cd/m, 2500:1, 160Hz, FreeSync/G-Sync, Pivot)</t>
        </is>
      </c>
      <c r="E1369" s="2">
        <v>100</v>
      </c>
      <c r="F1369" s="2">
        <v>100</v>
      </c>
      <c r="H1369" s="2">
        <v>510</v>
      </c>
      <c r="I1369" s="2" t="inlineStr">
        <is>
          <t>$</t>
        </is>
      </c>
      <c r="J1369" s="2">
        <f>HYPERLINK("https://app.astro.lead-studio.pro/product/8bc79b16-f608-4626-8742-12f6f1cff522")</f>
      </c>
    </row>
    <row r="1370" spans="1:10" customHeight="0">
      <c r="A1370" s="2" t="inlineStr">
        <is>
          <t>Мониторы</t>
        </is>
      </c>
      <c r="B1370" s="2" t="inlineStr">
        <is>
          <t>KTC</t>
        </is>
      </c>
      <c r="C1370" s="2" t="inlineStr">
        <is>
          <t>H34S18S</t>
        </is>
      </c>
      <c r="D1370" s="2" t="inlineStr">
        <is>
          <t>Монитор 34" KTC H34S18S Black (VA, 3440x1440, HDMI+HDMI+DP+DP, 5 ms, 178°/178°, 350 cd/m, 4000:1, 165Hz, FreeSync/G-Sync)</t>
        </is>
      </c>
      <c r="E1370" s="2">
        <v>95</v>
      </c>
      <c r="F1370" s="2">
        <v>95</v>
      </c>
      <c r="H1370" s="2">
        <v>445</v>
      </c>
      <c r="I1370" s="2" t="inlineStr">
        <is>
          <t>$</t>
        </is>
      </c>
      <c r="J1370" s="2">
        <f>HYPERLINK("https://app.astro.lead-studio.pro/product/2af7a9c4-0e86-43b5-b8a2-1da13d680ccc")</f>
      </c>
    </row>
    <row r="1371" spans="1:10" customHeight="0">
      <c r="A1371" s="2" t="inlineStr">
        <is>
          <t>Мониторы</t>
        </is>
      </c>
      <c r="B1371" s="2" t="inlineStr">
        <is>
          <t>KTC</t>
        </is>
      </c>
      <c r="C1371" s="2" t="inlineStr">
        <is>
          <t>H34S18S||bp</t>
        </is>
      </c>
      <c r="D1371" s="2" t="inlineStr">
        <is>
          <t>Монитор Bad Pack 34" KTC H34S18S Black (VA, 3440x1440, HDMI+HDMI+DP+DP, 5 ms, 178°/178°, 350 cd/m, 4000:1, 165Hz, FreeSync/G-Sync) bp</t>
        </is>
      </c>
      <c r="E1371" s="2">
        <v>1</v>
      </c>
      <c r="F1371" s="2">
        <v>1</v>
      </c>
      <c r="H1371" s="2">
        <v>421</v>
      </c>
      <c r="I1371" s="2" t="inlineStr">
        <is>
          <t>$</t>
        </is>
      </c>
      <c r="J1371" s="2">
        <f>HYPERLINK("https://app.astro.lead-studio.pro/product/92926fd7-e236-4518-9fab-095551a51292")</f>
      </c>
    </row>
    <row r="1372" spans="1:10" customHeight="0">
      <c r="A1372" s="2" t="inlineStr">
        <is>
          <t>Мониторы</t>
        </is>
      </c>
      <c r="B1372" s="2" t="inlineStr">
        <is>
          <t>Samsung</t>
        </is>
      </c>
      <c r="C1372" s="2" t="inlineStr">
        <is>
          <t>LS27D804UAIXCI</t>
        </is>
      </c>
      <c r="D1372" s="2" t="inlineStr">
        <is>
          <t>Монитор 27" SAMSUNG S27D804UAI ViewFinity S8 S80UD UHD Black (IPS, 3840x2160, HDMI+DP+Type C, USB Hub, LAN, 5 ms, 178°/178°, 350 cd/m, 1000:1, 60Hz, Pivot)</t>
        </is>
      </c>
      <c r="E1372" s="2">
        <v>6</v>
      </c>
      <c r="F1372" s="2">
        <v>6</v>
      </c>
      <c r="H1372" s="2">
        <v>402</v>
      </c>
      <c r="I1372" s="2" t="inlineStr">
        <is>
          <t>$</t>
        </is>
      </c>
      <c r="J1372" s="2">
        <f>HYPERLINK("https://app.astro.lead-studio.pro/product/39a2d28a-3957-4dc3-888a-43102c30cb54")</f>
      </c>
    </row>
    <row r="1373" spans="1:10" customHeight="0">
      <c r="A1373" s="2" t="inlineStr">
        <is>
          <t>Мониторы</t>
        </is>
      </c>
      <c r="B1373" s="2" t="inlineStr">
        <is>
          <t>Samsung</t>
        </is>
      </c>
      <c r="C1373" s="2" t="inlineStr">
        <is>
          <t>LS32D604UAIXCI</t>
        </is>
      </c>
      <c r="D1373" s="2" t="inlineStr">
        <is>
          <t>Монитор 32" SAMSUNG S32D604UAI Black (IPS, 2560x1440, HDMI+DP+Type C, USB HUB, LAN, 5 ms, 178°/178°, 350 cd/m, 1000:1, 100Hz)</t>
        </is>
      </c>
      <c r="E1373" s="2">
        <v>7</v>
      </c>
      <c r="F1373" s="2">
        <v>7</v>
      </c>
      <c r="H1373" s="2">
        <v>434</v>
      </c>
      <c r="I1373" s="2" t="inlineStr">
        <is>
          <t>$</t>
        </is>
      </c>
      <c r="J1373" s="2">
        <f>HYPERLINK("https://app.astro.lead-studio.pro/product/2410ece4-6593-43cd-ae07-a3d197de0269")</f>
      </c>
    </row>
    <row r="1374" spans="1:10" customHeight="0">
      <c r="A1374" s="2" t="inlineStr">
        <is>
          <t>Мониторы</t>
        </is>
      </c>
      <c r="B1374" s="2" t="inlineStr">
        <is>
          <t>Samsung</t>
        </is>
      </c>
      <c r="C1374" s="2" t="inlineStr">
        <is>
          <t>LS32D804UAIXCI</t>
        </is>
      </c>
      <c r="D1374" s="2" t="inlineStr">
        <is>
          <t>Монитор 32" SAMSUNG S32D804UAI ViewFinity S8 S80UD UHD Black (VA, 3840x2160, HDMI+DP+Type C, USB Hub, LAN, 5 ms, 178°/178°, 350 cd/m, 3000:1, 60Hz, Pivot)</t>
        </is>
      </c>
      <c r="E1374" s="2">
        <v>3</v>
      </c>
      <c r="F1374" s="2">
        <v>3</v>
      </c>
      <c r="H1374" s="2">
        <v>412</v>
      </c>
      <c r="I1374" s="2" t="inlineStr">
        <is>
          <t>$</t>
        </is>
      </c>
      <c r="J1374" s="2">
        <f>HYPERLINK("https://app.astro.lead-studio.pro/product/3b7c14b5-61bc-405b-906c-e7699cea48ca")</f>
      </c>
    </row>
    <row r="1375" spans="1:10" customHeight="0">
      <c r="A1375" s="2" t="inlineStr">
        <is>
          <t>Мониторы</t>
        </is>
      </c>
      <c r="B1375" s="2" t="inlineStr">
        <is>
          <t>Samsung</t>
        </is>
      </c>
      <c r="C1375" s="2" t="inlineStr">
        <is>
          <t>LS34C500GAIXCI</t>
        </is>
      </c>
      <c r="D1375" s="2" t="inlineStr">
        <is>
          <t>Монитор 34" SAMSUNG S34C500GAI ViewFinity S5 Black (VA, 3440x1440, HDMI+HDMI+DP, 5 ms, 178°/178°, 300 cd/m, 3000:1, 100Hz)</t>
        </is>
      </c>
      <c r="E1375" s="2">
        <v>1</v>
      </c>
      <c r="F1375" s="2">
        <v>1</v>
      </c>
      <c r="H1375" s="2">
        <v>381</v>
      </c>
      <c r="I1375" s="2" t="inlineStr">
        <is>
          <t>$</t>
        </is>
      </c>
      <c r="J1375" s="2">
        <f>HYPERLINK("https://app.astro.lead-studio.pro/product/b1dc6971-4f82-47cf-ba63-bd8b34b2e4d9")</f>
      </c>
    </row>
    <row r="1376" spans="1:10" customHeight="0">
      <c r="A1376" s="2" t="inlineStr">
        <is>
          <t>Мониторы</t>
        </is>
      </c>
      <c r="B1376" s="2" t="inlineStr">
        <is>
          <t>Samsung</t>
        </is>
      </c>
      <c r="C1376" s="2" t="inlineStr">
        <is>
          <t>LS34C650VAIXCI</t>
        </is>
      </c>
      <c r="D1376" s="2" t="inlineStr">
        <is>
          <t>Монитор 34" SAMSUNG S34C650VAI Black (VA, 3440x1440, HDMI+DP+Type C, USB Hub, 5 ms, 178°/178°, 350 cd/m, 3000:1, 100Hz, MM, Camera, Curved)</t>
        </is>
      </c>
      <c r="E1376" s="2">
        <v>5</v>
      </c>
      <c r="F1376" s="2">
        <v>5</v>
      </c>
      <c r="H1376" s="2">
        <v>670</v>
      </c>
      <c r="I1376" s="2" t="inlineStr">
        <is>
          <t>$</t>
        </is>
      </c>
      <c r="J1376" s="2">
        <f>HYPERLINK("https://app.astro.lead-studio.pro/product/abcba7a3-0f25-4a4e-82f8-a5978bc1a434")</f>
      </c>
    </row>
    <row r="1377" spans="1:10" customHeight="0">
      <c r="A1377" s="2" t="inlineStr">
        <is>
          <t>Мониторы</t>
        </is>
      </c>
      <c r="B1377" s="2" t="inlineStr">
        <is>
          <t>KTC</t>
        </is>
      </c>
      <c r="C1377" s="2" t="inlineStr">
        <is>
          <t>M27P20P</t>
        </is>
      </c>
      <c r="D1377" s="2" t="inlineStr">
        <is>
          <t>Монитор KTC 27" M27P20P Black IPS, 3840x2160, HDMI+HDMI+DP+Type C 90W, USB 3.0 (1 in/2 out), 1 ms, 178°/178°, 400 cd/m, 1000:1, 160Hz, FreeSync/G-Sync, Pivot, HDR1000, MM</t>
        </is>
      </c>
      <c r="E1377" s="2">
        <v>97</v>
      </c>
      <c r="F1377" s="2">
        <v>97</v>
      </c>
      <c r="H1377" s="2">
        <v>926</v>
      </c>
      <c r="I1377" s="2" t="inlineStr">
        <is>
          <t>$</t>
        </is>
      </c>
      <c r="J1377" s="2">
        <f>HYPERLINK("https://app.astro.lead-studio.pro/product/973db670-1e2b-4563-bedd-f2be20c99ba9")</f>
      </c>
    </row>
    <row r="1378" spans="1:10" customHeight="0">
      <c r="A1378" s="2" t="inlineStr">
        <is>
          <t>Мониторы</t>
        </is>
      </c>
      <c r="B1378" s="2" t="inlineStr">
        <is>
          <t>Gigabyte</t>
        </is>
      </c>
      <c r="C1378" s="2" t="inlineStr">
        <is>
          <t>M27QA EK</t>
        </is>
      </c>
      <c r="D1378" s="2" t="inlineStr">
        <is>
          <t>Монитор 27" Gigabyte M27QA-EK (IPS, 2560 x 1440, 180Hz, 1мс, 350cd/m, 1000:1, 2xHDMI-2.1, DP-1.4, 3xUSB3.0, USB Type-C )</t>
        </is>
      </c>
      <c r="E1378" s="2">
        <v>45</v>
      </c>
      <c r="F1378" s="2">
        <v>45</v>
      </c>
      <c r="H1378" s="2">
        <v>349</v>
      </c>
      <c r="I1378" s="2" t="inlineStr">
        <is>
          <t>$</t>
        </is>
      </c>
      <c r="J1378" s="2">
        <f>HYPERLINK("https://app.astro.lead-studio.pro/product/f6867f23-ccde-40bd-9c83-d11867616de9")</f>
      </c>
    </row>
    <row r="1379" spans="1:10" customHeight="0">
      <c r="A1379" s="2" t="inlineStr">
        <is>
          <t>Мониторы</t>
        </is>
      </c>
      <c r="B1379" s="2" t="inlineStr">
        <is>
          <t>Gigabyte</t>
        </is>
      </c>
      <c r="C1379" s="2" t="inlineStr">
        <is>
          <t>M27QA ICE</t>
        </is>
      </c>
      <c r="D1379" s="2" t="inlineStr">
        <is>
          <t>Монитор 27" Gigabyte M27QA EK ICE White (IPS, 2560 x 1440, 180Hz, 1мс, 350cd/m, 1000:1, 2xHDMI-2.1, DP-1.4, 3xUSB3.2, USB Type-C )</t>
        </is>
      </c>
      <c r="E1379" s="2">
        <v>50</v>
      </c>
      <c r="F1379" s="2">
        <v>50</v>
      </c>
      <c r="H1379" s="2">
        <v>388</v>
      </c>
      <c r="I1379" s="2" t="inlineStr">
        <is>
          <t>$</t>
        </is>
      </c>
      <c r="J1379" s="2">
        <f>HYPERLINK("https://app.astro.lead-studio.pro/product/cbc5e265-5e6e-4b38-ac2a-f54728e2cda4")</f>
      </c>
    </row>
    <row r="1380" spans="1:10" customHeight="0">
      <c r="A1380" s="2" t="inlineStr">
        <is>
          <t>Мониторы</t>
        </is>
      </c>
      <c r="B1380" s="2" t="inlineStr">
        <is>
          <t>Gigabyte</t>
        </is>
      </c>
      <c r="C1380" s="2" t="inlineStr">
        <is>
          <t>M27Q-EK</t>
        </is>
      </c>
      <c r="D1380" s="2" t="inlineStr">
        <is>
          <t>Монитор Gigabyte 27" M27Q-EK Gaming monitor Black (IPS, 2560x1440, HDMI+HDMI+DP, 0,5 ms, 178°/178°, 350 cd/m, 100M:1(1000:1), 2xUSB3.0, USB Type-C, 170Hz) (20VM0-M27QBA-1EKR / 20VM0-M27QBA-2EKR) (809263)</t>
        </is>
      </c>
      <c r="E1380" s="2">
        <v>50</v>
      </c>
      <c r="F1380" s="2">
        <v>50</v>
      </c>
      <c r="H1380" s="2">
        <v>332</v>
      </c>
      <c r="I1380" s="2" t="inlineStr">
        <is>
          <t>$</t>
        </is>
      </c>
      <c r="J1380" s="2">
        <f>HYPERLINK("https://app.astro.lead-studio.pro/product/ddb3649a-99b2-48b8-a3a2-39780a16a2e9")</f>
      </c>
    </row>
    <row r="1381" spans="1:10" customHeight="0">
      <c r="A1381" s="2" t="inlineStr">
        <is>
          <t>Мониторы</t>
        </is>
      </c>
      <c r="B1381" s="2" t="inlineStr">
        <is>
          <t>KTC</t>
        </is>
      </c>
      <c r="C1381" s="2" t="inlineStr">
        <is>
          <t>M27T20</t>
        </is>
      </c>
      <c r="D1381" s="2" t="inlineStr">
        <is>
          <t>Монитор KTC 27" M27T20 Black HVA, 2560x1440, HDMI+HDMI+DP+Type C 90W, USB 3.0 (1 in/2 out), 1 ms, 178°/178°, 350 cd/m, 4000:1, 165Hz, FreeSync/G-Sync, Pivot, HDR1000, MM</t>
        </is>
      </c>
      <c r="E1381" s="2">
        <v>59</v>
      </c>
      <c r="F1381" s="2">
        <v>59</v>
      </c>
      <c r="H1381" s="2">
        <v>537</v>
      </c>
      <c r="I1381" s="2" t="inlineStr">
        <is>
          <t>$</t>
        </is>
      </c>
      <c r="J1381" s="2">
        <f>HYPERLINK("https://app.astro.lead-studio.pro/product/08d813cd-104d-49ce-ab3e-86bcc1b9181b")</f>
      </c>
    </row>
    <row r="1382" spans="1:10" customHeight="0">
      <c r="A1382" s="2" t="inlineStr">
        <is>
          <t>Мониторы</t>
        </is>
      </c>
      <c r="B1382" s="2" t="inlineStr">
        <is>
          <t>Gigabyte</t>
        </is>
      </c>
      <c r="C1382" s="2" t="inlineStr">
        <is>
          <t>M27UA EK</t>
        </is>
      </c>
      <c r="D1382" s="2" t="inlineStr">
        <is>
          <t>Монитор 27" Gigabyte M27UA EK Black (IPS, 3840×2160, 160Hz, 1мс, 350cd/m, 1000:1, 2xHDMI-2.1, DP-1.4, 3xUSB3.2, USB Type-C )</t>
        </is>
      </c>
      <c r="E1382" s="2">
        <v>19</v>
      </c>
      <c r="F1382" s="2">
        <v>19</v>
      </c>
      <c r="H1382" s="2">
        <v>653</v>
      </c>
      <c r="I1382" s="2" t="inlineStr">
        <is>
          <t>$</t>
        </is>
      </c>
      <c r="J1382" s="2">
        <f>HYPERLINK("https://app.astro.lead-studio.pro/product/42430524-b67d-42dc-b972-e8180fd16bb1")</f>
      </c>
    </row>
    <row r="1383" spans="1:10" customHeight="0">
      <c r="A1383" s="2" t="inlineStr">
        <is>
          <t>Мониторы</t>
        </is>
      </c>
      <c r="B1383" s="2" t="inlineStr">
        <is>
          <t>Gigabyte</t>
        </is>
      </c>
      <c r="C1383" s="2" t="inlineStr">
        <is>
          <t>M28U-EK</t>
        </is>
      </c>
      <c r="D1383" s="2" t="inlineStr">
        <is>
          <t>Монитор Gigabyte 28" M28U-EK Gaming monitor Black (IPS, 3840x2160, HDMI+HDMI+DP, 1 ms, 178°/178°, 300 cd/m, 1000:1, 2xUSB3.0, USB Type-C, 144Hz, MM) (20VM0-M28UBA-1EKR) (810887)</t>
        </is>
      </c>
      <c r="E1383" s="2">
        <v>44</v>
      </c>
      <c r="F1383" s="2">
        <v>44</v>
      </c>
      <c r="H1383" s="2">
        <v>554</v>
      </c>
      <c r="I1383" s="2" t="inlineStr">
        <is>
          <t>$</t>
        </is>
      </c>
      <c r="J1383" s="2">
        <f>HYPERLINK("https://app.astro.lead-studio.pro/product/c3856e98-d83d-4f1f-8698-91b6e4686af1")</f>
      </c>
    </row>
    <row r="1384" spans="1:10" customHeight="0">
      <c r="A1384" s="2" t="inlineStr">
        <is>
          <t>Мониторы</t>
        </is>
      </c>
      <c r="B1384" s="2" t="inlineStr">
        <is>
          <t>Gigabyte</t>
        </is>
      </c>
      <c r="C1384" s="2" t="inlineStr">
        <is>
          <t>M32QC-EK</t>
        </is>
      </c>
      <c r="D1384" s="2" t="inlineStr">
        <is>
          <t>Монитор Gigabyte 31.5" M32QC-EK Gaming monitor Black (VA, 2560x1440, HDMI+HDMI+DP, 1 ms, 178°/178°, 350 cd/m, 3000:1, 2xUSB3.0, USB Type-C, 165Hz, Curved) (20VM0-M32QCBA-1EKR) (810474)</t>
        </is>
      </c>
      <c r="E1384" s="2">
        <v>50</v>
      </c>
      <c r="F1384" s="2">
        <v>50</v>
      </c>
      <c r="H1384" s="2">
        <v>385</v>
      </c>
      <c r="I1384" s="2" t="inlineStr">
        <is>
          <t>$</t>
        </is>
      </c>
      <c r="J1384" s="2">
        <f>HYPERLINK("https://app.astro.lead-studio.pro/product/e835bf6c-c401-4d8a-8762-9f11c7b638d6")</f>
      </c>
    </row>
    <row r="1385" spans="1:10" customHeight="0">
      <c r="A1385" s="2" t="inlineStr">
        <is>
          <t>Мониторы</t>
        </is>
      </c>
      <c r="B1385" s="2" t="inlineStr">
        <is>
          <t>Gigabyte</t>
        </is>
      </c>
      <c r="C1385" s="2" t="inlineStr">
        <is>
          <t>M32U-EK</t>
        </is>
      </c>
      <c r="D1385" s="2" t="inlineStr">
        <is>
          <t>Монитор Gigabyte 31.5" M32U-EK Gaming monitor Black (IPS, 3840x2160, HDMI+HDMI+DP, 1 ms, 178°/178°, 350 cd/m, 1000:1, 2xUSB3.0, USB Type-C, 144Hz, MM) (20VM0-M32UBT-1EKR) (809980)</t>
        </is>
      </c>
      <c r="E1385" s="2">
        <v>12</v>
      </c>
      <c r="F1385" s="2">
        <v>12</v>
      </c>
      <c r="H1385" s="2">
        <v>737</v>
      </c>
      <c r="I1385" s="2" t="inlineStr">
        <is>
          <t>$</t>
        </is>
      </c>
      <c r="J1385" s="2">
        <f>HYPERLINK("https://app.astro.lead-studio.pro/product/38717a9c-29cf-490c-8836-92a7112860a4")</f>
      </c>
    </row>
    <row r="1386" spans="1:10" customHeight="0">
      <c r="A1386" s="2" t="inlineStr">
        <is>
          <t>Мониторы</t>
        </is>
      </c>
      <c r="B1386" s="2" t="inlineStr">
        <is>
          <t>Aiwa</t>
        </is>
      </c>
      <c r="C1386" s="2" t="inlineStr">
        <is>
          <t>MP340G-Y</t>
        </is>
      </c>
      <c r="D1386" s="2" t="inlineStr">
        <is>
          <t>Монитор Aiwa 34" MP340G-Y Black (VA, 3440x1440, 2xHDMI+2xDP, 1 ms, 178°/178°, 300 cd/m, 4000:1, 165Hz, MM, Curved, внешн. БП)</t>
        </is>
      </c>
      <c r="E1386" s="2">
        <v>100</v>
      </c>
      <c r="F1386" s="2">
        <v>100</v>
      </c>
      <c r="H1386" s="2">
        <v>383</v>
      </c>
      <c r="I1386" s="2" t="inlineStr">
        <is>
          <t>$</t>
        </is>
      </c>
      <c r="J1386" s="2">
        <f>HYPERLINK("https://app.astro.lead-studio.pro/product/7a322839-e5a8-46c0-a8d7-a52a2e47fe09")</f>
      </c>
    </row>
    <row r="1387" spans="1:10" customHeight="0">
      <c r="A1387" s="2" t="inlineStr">
        <is>
          <t>Мониторы</t>
        </is>
      </c>
      <c r="B1387" s="2" t="inlineStr">
        <is>
          <t>Aiwa</t>
        </is>
      </c>
      <c r="C1387" s="2" t="inlineStr">
        <is>
          <t>MP340G-Y||bp</t>
        </is>
      </c>
      <c r="D1387" s="2" t="inlineStr">
        <is>
          <t>Монитор BadPack 34" AIWA MP340G-Y Black (VA, 3440x1440, 2xHDMI+2xDP, 1 ms, 178°/178°, 250 cd/m, 4000:1, 165Hz, MM, Curved, внешн. БП)</t>
        </is>
      </c>
      <c r="E1387" s="2">
        <v>1</v>
      </c>
      <c r="F1387" s="2">
        <v>1</v>
      </c>
      <c r="H1387" s="2">
        <v>341</v>
      </c>
      <c r="I1387" s="2" t="inlineStr">
        <is>
          <t>$</t>
        </is>
      </c>
      <c r="J1387" s="2">
        <f>HYPERLINK("https://app.astro.lead-studio.pro/product/83ca6aa3-9755-4855-8875-ca279d1e571d")</f>
      </c>
    </row>
    <row r="1388" spans="1:10" customHeight="0">
      <c r="A1388" s="2" t="inlineStr">
        <is>
          <t>Мониторы</t>
        </is>
      </c>
      <c r="B1388" s="2" t="inlineStr">
        <is>
          <t>BenQ</t>
        </is>
      </c>
      <c r="C1388" s="2" t="inlineStr">
        <is>
          <t>PD2725U</t>
        </is>
      </c>
      <c r="D1388" s="2" t="inlineStr">
        <is>
          <t>Монитор 27" BenQ PD2725U Grey (3840x2160, IPS, 60Hz, 1200:1, 400cd, 5ms, 2*HDMI, DP; 4*USB 3.0; Thunderbolt 3, Speakers, Height adj 150, Pivot, 100% sRGB, Flicker-free;Low Blue Light, Calibration Report, 3Y)</t>
        </is>
      </c>
      <c r="E1388" s="2">
        <v>1</v>
      </c>
      <c r="F1388" s="2">
        <v>1</v>
      </c>
      <c r="H1388" s="2">
        <v>924</v>
      </c>
      <c r="I1388" s="2" t="inlineStr">
        <is>
          <t>$</t>
        </is>
      </c>
      <c r="J1388" s="2">
        <f>HYPERLINK("https://app.astro.lead-studio.pro/product/1d23d0ea-1979-4d3d-95c4-1066b0a2b42d")</f>
      </c>
    </row>
    <row r="1389" spans="1:10" customHeight="0">
      <c r="A1389" s="2" t="inlineStr">
        <is>
          <t>Мониторы</t>
        </is>
      </c>
      <c r="B1389" s="2" t="inlineStr">
        <is>
          <t>ASRock</t>
        </is>
      </c>
      <c r="C1389" s="2" t="inlineStr">
        <is>
          <t>PG27FFX2A</t>
        </is>
      </c>
      <c r="D1389" s="2" t="inlineStr">
        <is>
          <t>Монитор 27" ASRock Phantom Gaming PG27FFX2A Black (IPS, 1920x1080, HDMI+HDMI+DP, 1 ms, 178°/178°, 400 cd/m, 1100:1, 520Hz, HDR400, MM)</t>
        </is>
      </c>
      <c r="E1389" s="2">
        <v>20</v>
      </c>
      <c r="F1389" s="2">
        <v>20</v>
      </c>
      <c r="H1389" s="2">
        <v>782</v>
      </c>
      <c r="I1389" s="2" t="inlineStr">
        <is>
          <t>$</t>
        </is>
      </c>
      <c r="J1389" s="2">
        <f>HYPERLINK("https://app.astro.lead-studio.pro/product/a7a796b1-c4a7-4b13-8960-e3fa43a6fc81")</f>
      </c>
    </row>
    <row r="1390" spans="1:10" customHeight="0">
      <c r="A1390" s="2" t="inlineStr">
        <is>
          <t>Мониторы</t>
        </is>
      </c>
      <c r="B1390" s="2" t="inlineStr">
        <is>
          <t>ASRock</t>
        </is>
      </c>
      <c r="C1390" s="2" t="inlineStr">
        <is>
          <t>PG34QRT2B</t>
        </is>
      </c>
      <c r="D1390" s="2" t="inlineStr">
        <is>
          <t>Монитор 34" ASRock Phantom Gaming PG34QRT2B Black (VA, 3440x1440, 2xHDMI+2xDP, 1 ms, 178°/178°, 500 cd/m, 3000:1, 180Hz, HDR400, MM, Curved 1500R, Height adjustment)</t>
        </is>
      </c>
      <c r="E1390" s="2">
        <v>50</v>
      </c>
      <c r="F1390" s="2">
        <v>50</v>
      </c>
      <c r="H1390" s="2">
        <v>449</v>
      </c>
      <c r="I1390" s="2" t="inlineStr">
        <is>
          <t>$</t>
        </is>
      </c>
      <c r="J1390" s="2">
        <f>HYPERLINK("https://app.astro.lead-studio.pro/product/41beb6b8-df64-4ad9-aba4-0501e5e854ae")</f>
      </c>
    </row>
    <row r="1391" spans="1:10" customHeight="0">
      <c r="A1391" s="2" t="inlineStr">
        <is>
          <t>Мониторы</t>
        </is>
      </c>
      <c r="B1391" s="2" t="inlineStr">
        <is>
          <t>ASRock</t>
        </is>
      </c>
      <c r="C1391" s="2" t="inlineStr">
        <is>
          <t>PG34QRT3A</t>
        </is>
      </c>
      <c r="D1391" s="2" t="inlineStr">
        <is>
          <t>Монитор 34" ASRock Phantom Gaming PG34QRT3A Black (VA, 3440x1440, 2xHDMI+2xDP, 1 ms, 178°/178°, 500 cd/m, 3000:1, 180Hz, HDR400, MM, Curved 1500R, Height adjustment)</t>
        </is>
      </c>
      <c r="E1391" s="2">
        <v>36</v>
      </c>
      <c r="F1391" s="2">
        <v>36</v>
      </c>
      <c r="H1391" s="2">
        <v>515</v>
      </c>
      <c r="I1391" s="2" t="inlineStr">
        <is>
          <t>$</t>
        </is>
      </c>
      <c r="J1391" s="2">
        <f>HYPERLINK("https://app.astro.lead-studio.pro/product/63019618-9c67-434d-870e-b6bb7e93e83d")</f>
      </c>
    </row>
    <row r="1392" spans="1:10" customHeight="0">
      <c r="A1392" s="2" t="inlineStr">
        <is>
          <t>Мониторы</t>
        </is>
      </c>
      <c r="B1392" s="2" t="inlineStr">
        <is>
          <t>ASRock</t>
        </is>
      </c>
      <c r="C1392" s="2" t="inlineStr">
        <is>
          <t>PG34QRT3A||bp</t>
        </is>
      </c>
      <c r="D1392" s="2" t="inlineStr">
        <is>
          <t>Монитор Bad Pack 34" ASRock Phantom Gaming PG34QRT3A Black (VA, 3440x1440, 2xHDMI 2.0, 2xDP 1.4, 4xUSB3.2 Gen1x1 Type-A,
1xUSB3.2 Gen1x1 Type-B, 1 ms, 178°/178°, 500 cd/m, 3000:1, 180Hz, HDR400, MM, Curved 1500R, Height adjustment) bp</t>
        </is>
      </c>
      <c r="E1392" s="2">
        <v>1</v>
      </c>
      <c r="F1392" s="2">
        <v>1</v>
      </c>
      <c r="H1392" s="2">
        <v>345</v>
      </c>
      <c r="I1392" s="2" t="inlineStr">
        <is>
          <t>$</t>
        </is>
      </c>
      <c r="J1392" s="2">
        <f>HYPERLINK("https://app.astro.lead-studio.pro/product/096d19c7-e324-4d49-a1ff-cc2da97cecda")</f>
      </c>
    </row>
    <row r="1393" spans="1:10" customHeight="0">
      <c r="A1393" s="2" t="inlineStr">
        <is>
          <t>Мониторы</t>
        </is>
      </c>
      <c r="B1393" s="2" t="inlineStr">
        <is>
          <t>AOC</t>
        </is>
      </c>
      <c r="C1393" s="2" t="inlineStr">
        <is>
          <t>U34E2M</t>
        </is>
      </c>
      <c r="D1393" s="2" t="inlineStr">
        <is>
          <t>Монитор 34" AOC U34E2M Black (VA, 3440x1440, HDMI+HDMI+DP, USB HUB, 4 ms, 178°/178°, 300 cd/m, 3000:1, 100Hz)</t>
        </is>
      </c>
      <c r="E1393" s="2">
        <v>11</v>
      </c>
      <c r="F1393" s="2">
        <v>11</v>
      </c>
      <c r="H1393" s="2">
        <v>330</v>
      </c>
      <c r="I1393" s="2" t="inlineStr">
        <is>
          <t>$</t>
        </is>
      </c>
      <c r="J1393" s="2">
        <f>HYPERLINK("https://app.astro.lead-studio.pro/product/9603f00f-54aa-4e4c-bb0c-1fb229cff944")</f>
      </c>
    </row>
    <row r="1394" spans="1:10" customHeight="0">
      <c r="A1394" s="2" t="inlineStr">
        <is>
          <t>Мониторы</t>
        </is>
      </c>
      <c r="B1394" s="2" t="inlineStr">
        <is>
          <t>Acer</t>
        </is>
      </c>
      <c r="C1394" s="2" t="inlineStr">
        <is>
          <t>UM.CC2EE.H01</t>
        </is>
      </c>
      <c r="D1394" s="2" t="inlineStr">
        <is>
          <t>Монитор 34" ACER Nitro CZ342CURHbmiphuzx Black (VA, изогнутый, 3440x1440, 100Hz, 1 ms, 178°/178°, 300 cd/m, 3000:1, +HDMI 2.0, +DisplayPort 1.4, +2xUSB, +USB Type-C, +MM, +регулировка по высоте)</t>
        </is>
      </c>
      <c r="E1394" s="2">
        <v>19</v>
      </c>
      <c r="F1394" s="2">
        <v>19</v>
      </c>
      <c r="H1394" s="2">
        <v>376</v>
      </c>
      <c r="I1394" s="2" t="inlineStr">
        <is>
          <t>$</t>
        </is>
      </c>
      <c r="J1394" s="2">
        <f>HYPERLINK("https://app.astro.lead-studio.pro/product/e67fb20e-7bcc-4182-9dd8-490d65d7ba0a")</f>
      </c>
    </row>
    <row r="1395" spans="1:10" customHeight="0">
      <c r="A1395" s="2" t="inlineStr">
        <is>
          <t>Мониторы</t>
        </is>
      </c>
      <c r="B1395" s="2" t="inlineStr">
        <is>
          <t>Acer</t>
        </is>
      </c>
      <c r="C1395" s="2" t="inlineStr">
        <is>
          <t>UM.CX2EE.305</t>
        </is>
      </c>
      <c r="D1395" s="2" t="inlineStr">
        <is>
          <t>Монитор 34" ACER Nitro XZ342CUV3bmiiphx Black</t>
        </is>
      </c>
      <c r="E1395" s="2">
        <v>47</v>
      </c>
      <c r="F1395" s="2">
        <v>47</v>
      </c>
      <c r="H1395" s="2">
        <v>398</v>
      </c>
      <c r="I1395" s="2" t="inlineStr">
        <is>
          <t>$</t>
        </is>
      </c>
      <c r="J1395" s="2">
        <f>HYPERLINK("https://app.astro.lead-studio.pro/product/3a6b146c-b9d3-4b05-bd92-7f910eeed64e")</f>
      </c>
    </row>
    <row r="1396" spans="1:10" customHeight="0">
      <c r="A1396" s="2" t="inlineStr">
        <is>
          <t>Мониторы</t>
        </is>
      </c>
      <c r="B1396" s="2" t="inlineStr">
        <is>
          <t>Acer</t>
        </is>
      </c>
      <c r="C1396" s="2" t="inlineStr">
        <is>
          <t>UM.CX5EE.301</t>
        </is>
      </c>
      <c r="D1396" s="2" t="inlineStr">
        <is>
          <t>Монитор 34" ACER Nitro XV345CURV3bmiphuzx Black (VA, 3440x1440, HDMI+DP+Type-C (65W), USB Hub, 1 ms, 178°/178°, 300 cd/m, 1000:1, 180Hz, MM, Curved 1000R)</t>
        </is>
      </c>
      <c r="E1396" s="2">
        <v>50</v>
      </c>
      <c r="F1396" s="2">
        <v>50</v>
      </c>
      <c r="H1396" s="2">
        <v>410</v>
      </c>
      <c r="I1396" s="2" t="inlineStr">
        <is>
          <t>$</t>
        </is>
      </c>
      <c r="J1396" s="2">
        <f>HYPERLINK("https://app.astro.lead-studio.pro/product/3acf0a3f-a2fc-4072-a47d-37ab63f749c4")</f>
      </c>
    </row>
    <row r="1397" spans="1:10" customHeight="0">
      <c r="A1397" s="2" t="inlineStr">
        <is>
          <t>Мониторы</t>
        </is>
      </c>
      <c r="B1397" s="2" t="inlineStr">
        <is>
          <t>Acer</t>
        </is>
      </c>
      <c r="C1397" s="2" t="inlineStr">
        <is>
          <t>UM.HX2EE.201</t>
        </is>
      </c>
      <c r="D1397" s="2" t="inlineStr">
        <is>
          <t>Монитор 27" ACER Nitro XV272UW2bmiiprx Black (IPS, 2560x1440, 0,5 / 1ms, 400cd, 240Hz, 2xHDMI(2.1) + 1xDP(1.4) + Audio Out, Speakers 2Wx2, sync: FreeSync Premium, hdr: HDR 400, hadj 120)</t>
        </is>
      </c>
      <c r="E1397" s="2">
        <v>3</v>
      </c>
      <c r="F1397" s="2">
        <v>3</v>
      </c>
      <c r="H1397" s="2">
        <v>387</v>
      </c>
      <c r="I1397" s="2" t="inlineStr">
        <is>
          <t>$</t>
        </is>
      </c>
      <c r="J1397" s="2">
        <f>HYPERLINK("https://app.astro.lead-studio.pro/product/31ca229a-cdbb-48ed-ae07-ead1cc18ddbe")</f>
      </c>
    </row>
    <row r="1398" spans="1:10" customHeight="0">
      <c r="A1398" s="2" t="inlineStr">
        <is>
          <t>Мониторы</t>
        </is>
      </c>
      <c r="B1398" s="2" t="inlineStr">
        <is>
          <t>Acer</t>
        </is>
      </c>
      <c r="C1398" s="2" t="inlineStr">
        <is>
          <t>UM.HX3EE.310</t>
        </is>
      </c>
      <c r="D1398" s="2" t="inlineStr">
        <is>
          <t>Монитор 27" ACER Predator XB273UV3bmiiprzx Black (IPS 2560x1440 180 Hz400cd/m2 0,5 / 1ms 2xHDMI+ 1xDP+ Audio out + USB3.0x4 + USB-B(1up 4down)+Speaker 2Wx2150 H.AdjPivot)</t>
        </is>
      </c>
      <c r="E1398" s="2">
        <v>38</v>
      </c>
      <c r="F1398" s="2">
        <v>38</v>
      </c>
      <c r="H1398" s="2">
        <v>361</v>
      </c>
      <c r="I1398" s="2" t="inlineStr">
        <is>
          <t>$</t>
        </is>
      </c>
      <c r="J1398" s="2">
        <f>HYPERLINK("https://app.astro.lead-studio.pro/product/8c2ffe50-04d5-4109-af6e-6c27034e01a0")</f>
      </c>
    </row>
    <row r="1399" spans="1:10" customHeight="0">
      <c r="A1399" s="2" t="inlineStr">
        <is>
          <t>Мониторы</t>
        </is>
      </c>
      <c r="B1399" s="2" t="inlineStr">
        <is>
          <t>Acer</t>
        </is>
      </c>
      <c r="C1399" s="2" t="inlineStr">
        <is>
          <t>UM.HX5EE.V05</t>
        </is>
      </c>
      <c r="D1399" s="2" t="inlineStr">
        <is>
          <t>Монитор 27" ACER Nitro XV275KVymipruzx Black (IPS, 3840x2160, 160Hz, 0.5 ms, 178°/178°, 400 cd/m, 100M:1, +НDMI 2.1, +DisplayPort 1,4, +2xUSB 2.0, +USB Type-C, +MM)</t>
        </is>
      </c>
      <c r="E1399" s="2">
        <v>6</v>
      </c>
      <c r="F1399" s="2">
        <v>6</v>
      </c>
      <c r="H1399" s="2">
        <v>494</v>
      </c>
      <c r="I1399" s="2" t="inlineStr">
        <is>
          <t>$</t>
        </is>
      </c>
      <c r="J1399" s="2">
        <f>HYPERLINK("https://app.astro.lead-studio.pro/product/b1f0e301-35d8-4605-82be-3c7ae80ed0ea")</f>
      </c>
    </row>
    <row r="1400" spans="1:10" customHeight="0">
      <c r="A1400" s="2" t="inlineStr">
        <is>
          <t>Мониторы</t>
        </is>
      </c>
      <c r="B1400" s="2" t="inlineStr">
        <is>
          <t>Acer</t>
        </is>
      </c>
      <c r="C1400" s="2" t="inlineStr">
        <is>
          <t>UM.JX0EE.306</t>
        </is>
      </c>
      <c r="D1400" s="2" t="inlineStr">
        <is>
          <t>Монитор 31.5" ACER Nitro XZ322QUV3bmiiphx Black (VA, изогнутый, 2560x1440, 180Hz, 1 ms, 178°/178°, 400 cd/m, 3500:1, +2хHDMI 2.0, +DisplayPort, +MM, +регулировка по высоте)</t>
        </is>
      </c>
      <c r="E1400" s="2">
        <v>2</v>
      </c>
      <c r="F1400" s="2">
        <v>2</v>
      </c>
      <c r="H1400" s="2">
        <v>331</v>
      </c>
      <c r="I1400" s="2" t="inlineStr">
        <is>
          <t>$</t>
        </is>
      </c>
      <c r="J1400" s="2">
        <f>HYPERLINK("https://app.astro.lead-studio.pro/product/dea2dec3-89b6-4074-9ddd-6cff58a7d921")</f>
      </c>
    </row>
    <row r="1401" spans="1:10" customHeight="0">
      <c r="A1401" s="2" t="inlineStr">
        <is>
          <t>АРМ</t>
        </is>
      </c>
      <c r="B1401" s="2" t="inlineStr">
        <is>
          <t>Гравитон</t>
        </is>
      </c>
      <c r="C1401" s="2" t="inlineStr">
        <is>
          <t>АП30А_155956</t>
        </is>
      </c>
      <c r="D1401" s="2" t="inlineStr">
        <is>
          <t>АРМ Гравитон АП30А Д30А RYZEN 7 5700G/16GB/SSD512GB/DRW/FP_2xUSB2.0/250W/NoOS/WR3/ 220В/23,8" </t>
        </is>
      </c>
      <c r="E1401" s="2">
        <v>3</v>
      </c>
      <c r="F1401" s="2">
        <v>3</v>
      </c>
      <c r="H1401" s="2">
        <v>1386</v>
      </c>
      <c r="I1401" s="2" t="inlineStr">
        <is>
          <t>$</t>
        </is>
      </c>
      <c r="J1401" s="2">
        <f>HYPERLINK("https://app.astro.lead-studio.pro/product/aeda414a-6376-4fb3-8c4a-8f52b70ac096")</f>
      </c>
    </row>
    <row r="1402" spans="1:10" customHeight="0">
      <c r="A1402" s="2" t="inlineStr">
        <is>
          <t>Моноблоки и комплектующие</t>
        </is>
      </c>
      <c r="B1402" s="2" t="inlineStr">
        <is>
          <t>Acer</t>
        </is>
      </c>
      <c r="C1402" s="2" t="inlineStr">
        <is>
          <t>DQ.BKECD.001</t>
        </is>
      </c>
      <c r="D1402" s="2" t="inlineStr">
        <is>
          <t>Моноблок Acer Aspire S27-1755 Core i7-1260P/16Gb/SSD512Gb/27"/O_DLED/QHD/KB/M/noOS/silver (DQ.BKECD.001) </t>
        </is>
      </c>
      <c r="E1402" s="2">
        <v>12</v>
      </c>
      <c r="F1402" s="2">
        <v>12</v>
      </c>
      <c r="H1402" s="2">
        <v>1210</v>
      </c>
      <c r="I1402" s="2" t="inlineStr">
        <is>
          <t>$</t>
        </is>
      </c>
      <c r="J1402" s="2">
        <f>HYPERLINK("https://app.astro.lead-studio.pro/product/5af6954f-4ff0-4e5b-a7ce-9e90b1015193")</f>
      </c>
    </row>
    <row r="1403" spans="1:10" customHeight="0">
      <c r="A1403" s="2" t="inlineStr">
        <is>
          <t>Моноблоки и комплектующие</t>
        </is>
      </c>
      <c r="B1403" s="2" t="inlineStr">
        <is>
          <t>Acer</t>
        </is>
      </c>
      <c r="C1403" s="2" t="inlineStr">
        <is>
          <t>DQ.BKECD.003</t>
        </is>
      </c>
      <c r="D1403" s="2" t="inlineStr">
        <is>
          <t>Моноблок Acer Aspire S27-1755 Core i7-1260P/16Gb/SSD1Tb/27"/IPS/WQHD/Eshell/grey (DQ.BKECD.003)</t>
        </is>
      </c>
      <c r="E1403" s="2">
        <v>20</v>
      </c>
      <c r="F1403" s="2">
        <v>20</v>
      </c>
      <c r="H1403" s="2">
        <v>1279</v>
      </c>
      <c r="I1403" s="2" t="inlineStr">
        <is>
          <t>$</t>
        </is>
      </c>
      <c r="J1403" s="2">
        <f>HYPERLINK("https://app.astro.lead-studio.pro/product/6cf1e514-216a-451d-8b4b-4073ab34ae55")</f>
      </c>
    </row>
    <row r="1404" spans="1:10" customHeight="0">
      <c r="A1404" s="2" t="inlineStr">
        <is>
          <t>Моноблоки и комплектующие</t>
        </is>
      </c>
      <c r="B1404" s="2" t="inlineStr">
        <is>
          <t>Acer</t>
        </is>
      </c>
      <c r="C1404" s="2" t="inlineStr">
        <is>
          <t>DQ.BKJCD.008</t>
        </is>
      </c>
      <c r="D1404" s="2" t="inlineStr">
        <is>
          <t>Моноблок Acer Aspire C27-1800 Core i3-1315U/16Gb/SSD512Gb/27"/IPS/FHD/Eshell (DQ.BKJCD.008)</t>
        </is>
      </c>
      <c r="E1404" s="2">
        <v>20</v>
      </c>
      <c r="F1404" s="2">
        <v>20</v>
      </c>
      <c r="H1404" s="2">
        <v>694</v>
      </c>
      <c r="I1404" s="2" t="inlineStr">
        <is>
          <t>$</t>
        </is>
      </c>
      <c r="J1404" s="2">
        <f>HYPERLINK("https://app.astro.lead-studio.pro/product/811cfca7-0ab6-4932-a480-01c128b593c4")</f>
      </c>
    </row>
    <row r="1405" spans="1:10" customHeight="0">
      <c r="A1405" s="2" t="inlineStr">
        <is>
          <t>Моноблоки и комплектующие</t>
        </is>
      </c>
      <c r="B1405" s="2" t="inlineStr">
        <is>
          <t>Acer</t>
        </is>
      </c>
      <c r="C1405" s="2" t="inlineStr">
        <is>
          <t>DQ.BKLCD.004||bp</t>
        </is>
      </c>
      <c r="D1405" s="2" t="inlineStr">
        <is>
          <t>Моноблок Ace rBad Pack Aspire C24-1800 Core i3-1315U/8Gb/SSD512Gb/23,8"/IPS/FHD/KB/M/Win11/ black (DQ.BKLCD.004)</t>
        </is>
      </c>
      <c r="E1405" s="2">
        <v>3</v>
      </c>
      <c r="F1405" s="2">
        <v>3</v>
      </c>
      <c r="H1405" s="2">
        <v>638</v>
      </c>
      <c r="I1405" s="2" t="inlineStr">
        <is>
          <t>$</t>
        </is>
      </c>
      <c r="J1405" s="2">
        <f>HYPERLINK("https://app.astro.lead-studio.pro/product/d7d4c370-104c-4338-a82c-7228601e69c9")</f>
      </c>
    </row>
    <row r="1406" spans="1:10" customHeight="0">
      <c r="A1406" s="2" t="inlineStr">
        <is>
          <t>Моноблоки и комплектующие</t>
        </is>
      </c>
      <c r="B1406" s="2" t="inlineStr">
        <is>
          <t>Acer</t>
        </is>
      </c>
      <c r="C1406" s="2" t="inlineStr">
        <is>
          <t>DQ.BKMCD.005||bp</t>
        </is>
      </c>
      <c r="D1406" s="2" t="inlineStr">
        <is>
          <t>Моноблок Acer Aspire C24-1800 Core i5-1335U/16Gb/SSD512Gb/23,8"/IPS/FHD/KB/M/Win11/ black (DQ.BKMCD.005)</t>
        </is>
      </c>
      <c r="E1406" s="2">
        <v>1</v>
      </c>
      <c r="F1406" s="2">
        <v>1</v>
      </c>
      <c r="H1406" s="2">
        <v>832</v>
      </c>
      <c r="I1406" s="2" t="inlineStr">
        <is>
          <t>$</t>
        </is>
      </c>
      <c r="J1406" s="2">
        <f>HYPERLINK("https://app.astro.lead-studio.pro/product/28107c4f-dd64-4f84-aa94-3ccdb39cacfe")</f>
      </c>
    </row>
    <row r="1407" spans="1:10" customHeight="0">
      <c r="A1407" s="2" t="inlineStr">
        <is>
          <t>Моноблоки и комплектующие</t>
        </is>
      </c>
      <c r="B1407" s="2" t="inlineStr">
        <is>
          <t>Acer</t>
        </is>
      </c>
      <c r="C1407" s="2" t="inlineStr">
        <is>
          <t>DQ.BL0CD.005</t>
        </is>
      </c>
      <c r="D1407" s="2" t="inlineStr">
        <is>
          <t>Моноблок Acer Aspire C24-1300 Ryzen 5 7520U/16Gb/SSD512Gb/23,8"/O_DLED/FHD/KB/M/noOS/black (DQ.BL0CD.005)</t>
        </is>
      </c>
      <c r="E1407" s="2">
        <v>20</v>
      </c>
      <c r="F1407" s="2">
        <v>20</v>
      </c>
      <c r="H1407" s="2">
        <v>644</v>
      </c>
      <c r="I1407" s="2" t="inlineStr">
        <is>
          <t>$</t>
        </is>
      </c>
      <c r="J1407" s="2">
        <f>HYPERLINK("https://app.astro.lead-studio.pro/product/faf781fe-d2de-45ff-b2b5-8deb3b9a07be")</f>
      </c>
    </row>
    <row r="1408" spans="1:10" customHeight="0">
      <c r="A1408" s="2" t="inlineStr">
        <is>
          <t>Моноблоки и комплектующие</t>
        </is>
      </c>
      <c r="B1408" s="2" t="inlineStr">
        <is>
          <t>Acer</t>
        </is>
      </c>
      <c r="C1408" s="2" t="inlineStr">
        <is>
          <t>DQ.BL0CD.00A</t>
        </is>
      </c>
      <c r="D1408" s="2" t="inlineStr">
        <is>
          <t>Моноблок Acer Aspire C24-1300 Ryzen5 7520U/8Gb/SSD512Gb/23.8"/IPS/FHD/Eshell (DQ.BL0CD.00A)</t>
        </is>
      </c>
      <c r="E1408" s="2">
        <v>20</v>
      </c>
      <c r="F1408" s="2">
        <v>20</v>
      </c>
      <c r="H1408" s="2">
        <v>618</v>
      </c>
      <c r="I1408" s="2" t="inlineStr">
        <is>
          <t>$</t>
        </is>
      </c>
      <c r="J1408" s="2">
        <f>HYPERLINK("https://app.astro.lead-studio.pro/product/6d1a2212-cc2f-42a5-90be-0e37fecb61ec")</f>
      </c>
    </row>
    <row r="1409" spans="1:10" customHeight="0">
      <c r="A1409" s="2" t="inlineStr">
        <is>
          <t>Моноблоки и комплектующие</t>
        </is>
      </c>
      <c r="B1409" s="2" t="inlineStr">
        <is>
          <t>Acer</t>
        </is>
      </c>
      <c r="C1409" s="2" t="inlineStr">
        <is>
          <t>DQ.BLFCD.00C||bp</t>
        </is>
      </c>
      <c r="D1409" s="2" t="inlineStr">
        <is>
          <t>Моноблок Acer Bad Pack Моноблок Acer Aspire C24-1800 Core i3 1305U/8Gb/SSD512Gb/23.8"/IPS/FHD/VESA/NoOS (DQ.BLFCD.00C)
 bp</t>
        </is>
      </c>
      <c r="E1409" s="2">
        <v>2</v>
      </c>
      <c r="F1409" s="2">
        <v>2</v>
      </c>
      <c r="H1409" s="2">
        <v>542</v>
      </c>
      <c r="I1409" s="2" t="inlineStr">
        <is>
          <t>$</t>
        </is>
      </c>
      <c r="J1409" s="2">
        <f>HYPERLINK("https://app.astro.lead-studio.pro/product/fd7d2910-de65-4d1e-8620-3c1cc467e5ca")</f>
      </c>
    </row>
    <row r="1410" spans="1:10" customHeight="0">
      <c r="A1410" s="2" t="inlineStr">
        <is>
          <t>Моноблоки и комплектующие</t>
        </is>
      </c>
      <c r="B1410" s="2" t="inlineStr">
        <is>
          <t>Acer</t>
        </is>
      </c>
      <c r="C1410" s="2" t="inlineStr">
        <is>
          <t>DQ.BLHCD.003||bp</t>
        </is>
      </c>
      <c r="D1410" s="2" t="inlineStr">
        <is>
          <t>Моноблок Acer Aspire C27-1800 Core i3-1305U/8Gb/SSD512Gb/27"/O_DLED/FHD/KB/M/noOS/black (DQ.BLHCD.003)</t>
        </is>
      </c>
      <c r="E1410" s="2">
        <v>1</v>
      </c>
      <c r="F1410" s="2">
        <v>1</v>
      </c>
      <c r="H1410" s="2">
        <v>554</v>
      </c>
      <c r="I1410" s="2" t="inlineStr">
        <is>
          <t>$</t>
        </is>
      </c>
      <c r="J1410" s="2">
        <f>HYPERLINK("https://app.astro.lead-studio.pro/product/5d207bb4-1d12-40a9-ba9e-8efeb1dd8110")</f>
      </c>
    </row>
    <row r="1411" spans="1:10" customHeight="0">
      <c r="A1411" s="2" t="inlineStr">
        <is>
          <t>Моноблоки и комплектующие</t>
        </is>
      </c>
      <c r="B1411" s="2" t="inlineStr">
        <is>
          <t>Acer</t>
        </is>
      </c>
      <c r="C1411" s="2" t="inlineStr">
        <is>
          <t>DQ.BM4CD.002</t>
        </is>
      </c>
      <c r="D1411" s="2" t="inlineStr">
        <is>
          <t>Моноблок Acer Aspire C24-195ES Core Ultra 5 125U/16Gb/SSD512Gb/23.8"/IPS/FHD/VESA/NoOS (DQ.BM4CD.002)</t>
        </is>
      </c>
      <c r="E1411" s="2">
        <v>20</v>
      </c>
      <c r="F1411" s="2">
        <v>20</v>
      </c>
      <c r="H1411" s="2">
        <v>829</v>
      </c>
      <c r="I1411" s="2" t="inlineStr">
        <is>
          <t>$</t>
        </is>
      </c>
      <c r="J1411" s="2">
        <f>HYPERLINK("https://app.astro.lead-studio.pro/product/f2b1a4ec-dcd7-481d-bf54-4352e66ed16d")</f>
      </c>
    </row>
    <row r="1412" spans="1:10" customHeight="0">
      <c r="A1412" s="2" t="inlineStr">
        <is>
          <t>Моноблоки и комплектующие</t>
        </is>
      </c>
      <c r="B1412" s="2" t="inlineStr">
        <is>
          <t>Acer</t>
        </is>
      </c>
      <c r="C1412" s="2" t="inlineStr">
        <is>
          <t>DQ.BM4CD.002||bp</t>
        </is>
      </c>
      <c r="D1412" s="2" t="inlineStr">
        <is>
          <t>Моноблок Acer Bad Pack Моноблок Acer Aspire C24-195ES Core Ultra 5 125U/16Gb/SSD512Gb/23.8"/IPS/FHD/VESA/NoOS (DQ.BM4CD.002)
 bp</t>
        </is>
      </c>
      <c r="E1412" s="2">
        <v>6</v>
      </c>
      <c r="F1412" s="2">
        <v>6</v>
      </c>
      <c r="H1412" s="2">
        <v>781</v>
      </c>
      <c r="I1412" s="2" t="inlineStr">
        <is>
          <t>$</t>
        </is>
      </c>
      <c r="J1412" s="2">
        <f>HYPERLINK("https://app.astro.lead-studio.pro/product/c8b1486e-3748-4123-9ba4-5dd45652678b")</f>
      </c>
    </row>
    <row r="1413" spans="1:10" customHeight="0">
      <c r="A1413" s="2" t="inlineStr">
        <is>
          <t>Моноблоки и комплектующие</t>
        </is>
      </c>
      <c r="B1413" s="2" t="inlineStr">
        <is>
          <t>Acer</t>
        </is>
      </c>
      <c r="C1413" s="2" t="inlineStr">
        <is>
          <t>DQ.BM5CD.001</t>
        </is>
      </c>
      <c r="D1413" s="2" t="inlineStr">
        <is>
          <t>Моноблок Acer Aspire C24-195ES Core Ultra 7 155U/16Gb/SSD512Gb/23.8"/IPS/FHD/VESA/NoOS (DQ.BM5CD.001)</t>
        </is>
      </c>
      <c r="E1413" s="2">
        <v>20</v>
      </c>
      <c r="F1413" s="2">
        <v>20</v>
      </c>
      <c r="H1413" s="2">
        <v>977</v>
      </c>
      <c r="I1413" s="2" t="inlineStr">
        <is>
          <t>$</t>
        </is>
      </c>
      <c r="J1413" s="2">
        <f>HYPERLINK("https://app.astro.lead-studio.pro/product/2bd83105-5042-41d9-a9fb-aa37b04e503f")</f>
      </c>
    </row>
    <row r="1414" spans="1:10" customHeight="0">
      <c r="A1414" s="2" t="inlineStr">
        <is>
          <t>Моноблоки и комплектующие</t>
        </is>
      </c>
      <c r="B1414" s="2" t="inlineStr">
        <is>
          <t>Acer</t>
        </is>
      </c>
      <c r="C1414" s="2" t="inlineStr">
        <is>
          <t>DQ.BM5CD.001||bp</t>
        </is>
      </c>
      <c r="D1414" s="2" t="inlineStr">
        <is>
          <t>Моноблок Acer Bad Pack Моноблок Acer Aspire C24-195ES Core Ultra 7 155U/16Gb/SSD512Gb/23.8"/IPS/FHD/VESA/NoOS (DQ.BM5CD.001)
 bp</t>
        </is>
      </c>
      <c r="E1414" s="2">
        <v>12</v>
      </c>
      <c r="F1414" s="2">
        <v>12</v>
      </c>
      <c r="H1414" s="2">
        <v>948</v>
      </c>
      <c r="I1414" s="2" t="inlineStr">
        <is>
          <t>$</t>
        </is>
      </c>
      <c r="J1414" s="2">
        <f>HYPERLINK("https://app.astro.lead-studio.pro/product/4278f0d9-ad46-405a-a14d-024ba74a1156")</f>
      </c>
    </row>
    <row r="1415" spans="1:10" customHeight="0">
      <c r="A1415" s="2" t="inlineStr">
        <is>
          <t>Моноблоки и комплектующие</t>
        </is>
      </c>
      <c r="B1415" s="2" t="inlineStr">
        <is>
          <t>Acer</t>
        </is>
      </c>
      <c r="C1415" s="2" t="inlineStr">
        <is>
          <t>DQ.BMGCD.001</t>
        </is>
      </c>
      <c r="D1415" s="2" t="inlineStr">
        <is>
          <t>Моноблок Acer Aspire C27-195ES Core Ultra 7 155U/16Gb/SSD512Gb/27.0"/IPS/FHD/NoOS (DQ.BMGCD.001)</t>
        </is>
      </c>
      <c r="E1415" s="2">
        <v>20</v>
      </c>
      <c r="F1415" s="2">
        <v>20</v>
      </c>
      <c r="H1415" s="2">
        <v>1035</v>
      </c>
      <c r="I1415" s="2" t="inlineStr">
        <is>
          <t>$</t>
        </is>
      </c>
      <c r="J1415" s="2">
        <f>HYPERLINK("https://app.astro.lead-studio.pro/product/c1540378-df00-4a8c-b5e5-8b93f245c95c")</f>
      </c>
    </row>
    <row r="1416" spans="1:10" customHeight="0">
      <c r="A1416" s="2" t="inlineStr">
        <is>
          <t>Моноблоки и комплектующие</t>
        </is>
      </c>
      <c r="B1416" s="2" t="inlineStr">
        <is>
          <t>Acer</t>
        </is>
      </c>
      <c r="C1416" s="2" t="inlineStr">
        <is>
          <t>DQ.BMGCD.001||bp</t>
        </is>
      </c>
      <c r="D1416" s="2" t="inlineStr">
        <is>
          <t>Моноблок Acer Bad Pack Моноблок Acer Aspire C27-195ES Core Ultra 7 155U/16Gb/SSD512Gb/27.0"/IPS/FHD/NoOS (DQ.BMGCD.001)
 bp</t>
        </is>
      </c>
      <c r="E1416" s="2">
        <v>2</v>
      </c>
      <c r="F1416" s="2">
        <v>2</v>
      </c>
      <c r="H1416" s="2">
        <v>978</v>
      </c>
      <c r="I1416" s="2" t="inlineStr">
        <is>
          <t>$</t>
        </is>
      </c>
      <c r="J1416" s="2">
        <f>HYPERLINK("https://app.astro.lead-studio.pro/product/67c486e0-8b00-4eda-9a9d-7dc58c4373f5")</f>
      </c>
    </row>
    <row r="1417" spans="1:10" customHeight="0">
      <c r="A1417" s="2" t="inlineStr">
        <is>
          <t>Моноблоки и комплектующие</t>
        </is>
      </c>
      <c r="B1417" s="2" t="inlineStr">
        <is>
          <t>Acer</t>
        </is>
      </c>
      <c r="C1417" s="2" t="inlineStr">
        <is>
          <t>DQ.BN5CD.00A</t>
        </is>
      </c>
      <c r="D1417" s="2" t="inlineStr">
        <is>
          <t>Моноблок Acer Aspire C24-1800 Core i5 1334U/16Gb/SSD512Gb/23.8"/IPS/FHD/NoOS (DQ.BN5CD.00A)</t>
        </is>
      </c>
      <c r="E1417" s="2">
        <v>13</v>
      </c>
      <c r="F1417" s="2">
        <v>13</v>
      </c>
      <c r="H1417" s="2">
        <v>746</v>
      </c>
      <c r="I1417" s="2" t="inlineStr">
        <is>
          <t>$</t>
        </is>
      </c>
      <c r="J1417" s="2">
        <f>HYPERLINK("https://app.astro.lead-studio.pro/product/aa1c623d-8381-4e08-a629-c25f3c6a32f2")</f>
      </c>
    </row>
    <row r="1418" spans="1:10" customHeight="0">
      <c r="A1418" s="2" t="inlineStr">
        <is>
          <t>Моноблоки и комплектующие</t>
        </is>
      </c>
      <c r="B1418" s="2" t="inlineStr">
        <is>
          <t>Acer</t>
        </is>
      </c>
      <c r="C1418" s="2" t="inlineStr">
        <is>
          <t>DQ.BN5CD.00A||bp</t>
        </is>
      </c>
      <c r="D1418" s="2" t="inlineStr">
        <is>
          <t>Моноблок Acer Bad Pack Моноблок Acer Aspire C24-1800 Core i5 1334U/16Gb/SSD512Gb/23.8"/IPS/FHD/NoOS (DQ.BN5CD.00A)
 bp</t>
        </is>
      </c>
      <c r="E1418" s="2">
        <v>1</v>
      </c>
      <c r="F1418" s="2">
        <v>1</v>
      </c>
      <c r="H1418" s="2">
        <v>657</v>
      </c>
      <c r="I1418" s="2" t="inlineStr">
        <is>
          <t>$</t>
        </is>
      </c>
      <c r="J1418" s="2">
        <f>HYPERLINK("https://app.astro.lead-studio.pro/product/8738b743-d2b4-4394-939f-b7bf86d66d28")</f>
      </c>
    </row>
    <row r="1419" spans="1:10" customHeight="0">
      <c r="A1419" s="2" t="inlineStr">
        <is>
          <t>Моноблоки и комплектующие</t>
        </is>
      </c>
      <c r="B1419" s="2" t="inlineStr">
        <is>
          <t>Acer</t>
        </is>
      </c>
      <c r="C1419" s="2" t="inlineStr">
        <is>
          <t>DQ.BNCCD.001||bp</t>
        </is>
      </c>
      <c r="D1419" s="2" t="inlineStr">
        <is>
          <t>Моноблок Acer Bad Pack Моноблок Acer Aspire C24A Core i5-1334U/16Gb/SSD512Gb/23,8"/IPS/FHD/100hz/KB/M/noOS/white (DQ.BNCCD.001) bp</t>
        </is>
      </c>
      <c r="E1419" s="2">
        <v>2</v>
      </c>
      <c r="F1419" s="2">
        <v>2</v>
      </c>
      <c r="H1419" s="2">
        <v>655</v>
      </c>
      <c r="I1419" s="2" t="inlineStr">
        <is>
          <t>$</t>
        </is>
      </c>
      <c r="J1419" s="2">
        <f>HYPERLINK("https://app.astro.lead-studio.pro/product/063b299d-99ed-480f-bfb9-24926d5af471")</f>
      </c>
    </row>
    <row r="1420" spans="1:10" customHeight="0">
      <c r="A1420" s="2" t="inlineStr">
        <is>
          <t>Моноблоки и комплектующие</t>
        </is>
      </c>
      <c r="B1420" s="2" t="inlineStr">
        <is>
          <t>Acer</t>
        </is>
      </c>
      <c r="C1420" s="2" t="inlineStr">
        <is>
          <t>DQ.BNDCD.002</t>
        </is>
      </c>
      <c r="D1420" s="2" t="inlineStr">
        <is>
          <t>Моноблок Acer Aspire C27 Core i5-1334U/16Gb/SSD512Gb/27"/IPS/FHD/120hz/KB/M/Win11/white (DQ.BNDCD.002)</t>
        </is>
      </c>
      <c r="E1420" s="2">
        <v>20</v>
      </c>
      <c r="F1420" s="2">
        <v>20</v>
      </c>
      <c r="H1420" s="2">
        <v>944</v>
      </c>
      <c r="I1420" s="2" t="inlineStr">
        <is>
          <t>$</t>
        </is>
      </c>
      <c r="J1420" s="2">
        <f>HYPERLINK("https://app.astro.lead-studio.pro/product/68be7fc0-842d-447a-bbe6-755197ce11ce")</f>
      </c>
    </row>
    <row r="1421" spans="1:10" customHeight="0">
      <c r="A1421" s="2" t="inlineStr">
        <is>
          <t>Моноблоки и комплектующие</t>
        </is>
      </c>
      <c r="B1421" s="2" t="inlineStr">
        <is>
          <t>Acer</t>
        </is>
      </c>
      <c r="C1421" s="2" t="inlineStr">
        <is>
          <t>DQ.VXZCD.001</t>
        </is>
      </c>
      <c r="D1421" s="2" t="inlineStr">
        <is>
          <t>Моноблок Acer Veriton VZ4714G Core i3-13100/8Gb/SSD512Gb/23.8"/DLED/FHD/noOS/black (DQ.VXZCD.001)</t>
        </is>
      </c>
      <c r="E1421" s="2">
        <v>50</v>
      </c>
      <c r="F1421" s="2">
        <v>50</v>
      </c>
      <c r="H1421" s="2">
        <v>659</v>
      </c>
      <c r="I1421" s="2" t="inlineStr">
        <is>
          <t>$</t>
        </is>
      </c>
      <c r="J1421" s="2">
        <f>HYPERLINK("https://app.astro.lead-studio.pro/product/e17579d4-8722-4ec3-ae52-550ecd6a341d")</f>
      </c>
    </row>
    <row r="1422" spans="1:10" customHeight="0">
      <c r="A1422" s="2" t="inlineStr">
        <is>
          <t>Моноблоки и комплектующие</t>
        </is>
      </c>
      <c r="B1422" s="2" t="inlineStr">
        <is>
          <t>Acer</t>
        </is>
      </c>
      <c r="C1422" s="2" t="inlineStr">
        <is>
          <t>DQ.VYQCD.001||bp</t>
        </is>
      </c>
      <c r="D1422" s="2" t="inlineStr">
        <is>
          <t>Моноблок Acer Bad Pack Veriton Z2694G Core i5-12400/16Gb/SSD512Gb/23,8"/IPS/FHD/KB/M/noOS/black  (DQ.VYQCD.001)</t>
        </is>
      </c>
      <c r="E1422" s="2">
        <v>1</v>
      </c>
      <c r="F1422" s="2">
        <v>1</v>
      </c>
      <c r="H1422" s="2">
        <v>724</v>
      </c>
      <c r="I1422" s="2" t="inlineStr">
        <is>
          <t>$</t>
        </is>
      </c>
      <c r="J1422" s="2">
        <f>HYPERLINK("https://app.astro.lead-studio.pro/product/ec79f4f7-bedc-4830-be3a-521206868336")</f>
      </c>
    </row>
    <row r="1423" spans="1:10" customHeight="0">
      <c r="A1423" s="2" t="inlineStr">
        <is>
          <t>Моноблоки и комплектующие</t>
        </is>
      </c>
      <c r="B1423" s="2" t="inlineStr">
        <is>
          <t>Acer</t>
        </is>
      </c>
      <c r="C1423" s="2" t="inlineStr">
        <is>
          <t>DQ.VYQCD.002||bp</t>
        </is>
      </c>
      <c r="D1423" s="2" t="inlineStr">
        <is>
          <t>Моноблок Acer Bad Pack Моноблок Acer Veriton Z2694G Core i3-12100/8Gb/SSD512Gb/23,8"/IPS/FHD/KB/M/noOS/black  (DQ.VYQCD.002) bp</t>
        </is>
      </c>
      <c r="E1423" s="2">
        <v>1</v>
      </c>
      <c r="F1423" s="2">
        <v>1</v>
      </c>
      <c r="H1423" s="2">
        <v>604</v>
      </c>
      <c r="I1423" s="2" t="inlineStr">
        <is>
          <t>$</t>
        </is>
      </c>
      <c r="J1423" s="2">
        <f>HYPERLINK("https://app.astro.lead-studio.pro/product/10f1784f-8951-4fe7-a900-bc3094bf62ed")</f>
      </c>
    </row>
    <row r="1424" spans="1:10" customHeight="0">
      <c r="A1424" s="2" t="inlineStr">
        <is>
          <t>Моноблоки и комплектующие</t>
        </is>
      </c>
      <c r="B1424" s="2" t="inlineStr">
        <is>
          <t>3Logic Lime</t>
        </is>
      </c>
      <c r="C1424" s="2" t="inlineStr">
        <is>
          <t>Standart300104435</t>
        </is>
      </c>
      <c r="D1424" s="2" t="inlineStr">
        <is>
          <t>ПЭВМ 3Logic Lime ПЭВМ Lime Standart 300 (23,8»,Core i3-10100  ,RAM 8Gb,SSD 512Gb, UHD 630,K+M)</t>
        </is>
      </c>
      <c r="E1424" s="2">
        <v>10</v>
      </c>
      <c r="F1424" s="2">
        <v>10</v>
      </c>
      <c r="H1424" s="2">
        <v>422</v>
      </c>
      <c r="I1424" s="2" t="inlineStr">
        <is>
          <t>$</t>
        </is>
      </c>
      <c r="J1424" s="2">
        <f>HYPERLINK("https://app.astro.lead-studio.pro/product/dce14162-3af1-41dd-b132-34e6925912c6")</f>
      </c>
    </row>
    <row r="1425" spans="1:10" customHeight="0">
      <c r="A1425" s="2" t="inlineStr">
        <is>
          <t>Моноблоки и комплектующие</t>
        </is>
      </c>
      <c r="B1425" s="2" t="inlineStr">
        <is>
          <t>3Logic Lime</t>
        </is>
      </c>
      <c r="C1425" s="2" t="inlineStr">
        <is>
          <t>Standart500104437</t>
        </is>
      </c>
      <c r="D1425" s="2" t="inlineStr">
        <is>
          <t>ПЭВМ 3Logic Lime ПЭВМ Lime Standart 500 (23,8»Core i5-10400  ,RAM 16Gb,SSD 512Gb, UHD 630,K+M)</t>
        </is>
      </c>
      <c r="E1425" s="2">
        <v>5</v>
      </c>
      <c r="F1425" s="2">
        <v>5</v>
      </c>
      <c r="H1425" s="2">
        <v>498</v>
      </c>
      <c r="I1425" s="2" t="inlineStr">
        <is>
          <t>$</t>
        </is>
      </c>
      <c r="J1425" s="2">
        <f>HYPERLINK("https://app.astro.lead-studio.pro/product/eef46f79-b47e-4ed7-b889-b832d3a0c134")</f>
      </c>
    </row>
    <row r="1426" spans="1:10" customHeight="0">
      <c r="A1426" s="2" t="inlineStr">
        <is>
          <t>Моноблоки и комплектующие</t>
        </is>
      </c>
      <c r="B1426" s="2" t="inlineStr">
        <is>
          <t>Raskat</t>
        </is>
      </c>
      <c r="C1426" s="2" t="inlineStr">
        <is>
          <t>STUDIO18150_181658</t>
        </is>
      </c>
      <c r="D1426" s="2" t="inlineStr">
        <is>
          <t>Моноблок Raskat STUDIO 18150 (27" IPS, i5-13400, RAM 16Gb, SSD 1Tb, UHD 730, 150W, NoOS)</t>
        </is>
      </c>
      <c r="E1426" s="2">
        <v>12</v>
      </c>
      <c r="F1426" s="2">
        <v>12</v>
      </c>
      <c r="H1426" s="2">
        <v>666</v>
      </c>
      <c r="I1426" s="2" t="inlineStr">
        <is>
          <t>$</t>
        </is>
      </c>
      <c r="J1426" s="2">
        <f>HYPERLINK("https://app.astro.lead-studio.pro/product/0a531117-3542-42be-9071-d5fbda4113b3")</f>
      </c>
    </row>
    <row r="1427" spans="1:10" customHeight="0">
      <c r="A1427" s="2" t="inlineStr">
        <is>
          <t>Моноблоки и комплектующие</t>
        </is>
      </c>
      <c r="B1427" s="2" t="inlineStr">
        <is>
          <t>Гравитон</t>
        </is>
      </c>
      <c r="C1427" s="2" t="inlineStr">
        <is>
          <t>М43И_155754</t>
        </is>
      </c>
      <c r="D1427" s="2" t="inlineStr">
        <is>
          <t>Моноблок Гравитон М43И 23,8"/i3-12100/8Gb/SSD256Gb/WiFi/Kbu/Mu/No OS/WR3</t>
        </is>
      </c>
      <c r="E1427" s="2">
        <v>6</v>
      </c>
      <c r="F1427" s="2">
        <v>6</v>
      </c>
      <c r="H1427" s="2">
        <v>1223</v>
      </c>
      <c r="I1427" s="2" t="inlineStr">
        <is>
          <t>$</t>
        </is>
      </c>
      <c r="J1427" s="2">
        <f>HYPERLINK("https://app.astro.lead-studio.pro/product/e89a78df-86ac-4136-b138-be3be1ea83ee")</f>
      </c>
    </row>
    <row r="1428" spans="1:10" customHeight="0">
      <c r="A1428" s="2" t="inlineStr">
        <is>
          <t>Моноблоки и комплектующие</t>
        </is>
      </c>
      <c r="B1428" s="2" t="inlineStr">
        <is>
          <t>Гравитон</t>
        </is>
      </c>
      <c r="C1428" s="2" t="inlineStr">
        <is>
          <t>М52И_175993</t>
        </is>
      </c>
      <c r="D1428" s="2" t="inlineStr">
        <is>
          <t>Моноблок Гравитон М52И 23,8" FHD i5-12400/1x8GB/1xSSD256GB/K+M/NoOS/3YST</t>
        </is>
      </c>
      <c r="E1428" s="2">
        <v>9</v>
      </c>
      <c r="F1428" s="2">
        <v>9</v>
      </c>
      <c r="H1428" s="2">
        <v>1360</v>
      </c>
      <c r="I1428" s="2" t="inlineStr">
        <is>
          <t>$</t>
        </is>
      </c>
      <c r="J1428" s="2">
        <f>HYPERLINK("https://app.astro.lead-studio.pro/product/f825b55e-be89-4024-8150-5d507e861042")</f>
      </c>
    </row>
    <row r="1429" spans="1:10" customHeight="0">
      <c r="A1429" s="2" t="inlineStr">
        <is>
          <t>Моноблоки и комплектующие</t>
        </is>
      </c>
      <c r="B1429" s="2" t="inlineStr">
        <is>
          <t>Гравитон</t>
        </is>
      </c>
      <c r="C1429" s="2" t="inlineStr">
        <is>
          <t>М55И_151130</t>
        </is>
      </c>
      <c r="D1429" s="2" t="inlineStr">
        <is>
          <t>Моноблок Гравитон М55И (23,8"/i5-12500/16GB/SSD512GB/WiFi/Kbu/Mu/No OS/WR3)</t>
        </is>
      </c>
      <c r="E1429" s="2">
        <v>10</v>
      </c>
      <c r="F1429" s="2">
        <v>10</v>
      </c>
      <c r="H1429" s="2">
        <v>1702</v>
      </c>
      <c r="I1429" s="2" t="inlineStr">
        <is>
          <t>$</t>
        </is>
      </c>
      <c r="J1429" s="2">
        <f>HYPERLINK("https://app.astro.lead-studio.pro/product/22535cc8-5e62-42db-aed1-9a7d9270d1e8")</f>
      </c>
    </row>
    <row r="1430" spans="1:10" customHeight="0">
      <c r="A1430" s="2" t="inlineStr">
        <is>
          <t>Моноблоки и комплектующие</t>
        </is>
      </c>
      <c r="B1430" s="2" t="inlineStr">
        <is>
          <t>Гравитон</t>
        </is>
      </c>
      <c r="C1430" s="2" t="inlineStr">
        <is>
          <t>М75И_151141</t>
        </is>
      </c>
      <c r="D1430" s="2" t="inlineStr">
        <is>
          <t>Моноблок Гравитон М75И (27"/i7-12700/16GB/SSD512GB/WiFi/Kbu/Mu/No OS/WR3)</t>
        </is>
      </c>
      <c r="E1430" s="2">
        <v>2</v>
      </c>
      <c r="F1430" s="2">
        <v>2</v>
      </c>
      <c r="H1430" s="2">
        <v>1857</v>
      </c>
      <c r="I1430" s="2" t="inlineStr">
        <is>
          <t>$</t>
        </is>
      </c>
      <c r="J1430" s="2">
        <f>HYPERLINK("https://app.astro.lead-studio.pro/product/f918c583-b4ef-4621-813b-59d1a84f8960")</f>
      </c>
    </row>
    <row r="1431" spans="1:10" customHeight="0">
      <c r="A1431" s="2" t="inlineStr">
        <is>
          <t>Настольные компьютеры</t>
        </is>
      </c>
      <c r="B1431" s="2" t="inlineStr">
        <is>
          <t>FragMachine</t>
        </is>
      </c>
      <c r="C1431" s="2" t="inlineStr">
        <is>
          <t>A6121R5808</t>
        </is>
      </c>
      <c r="D1431" s="2" t="inlineStr">
        <is>
          <t>Компьютер FragMachine Air 3106 (i3-12100F, 16GB DDR4, SSD 500Gb, RX 580 8Gb)</t>
        </is>
      </c>
      <c r="E1431" s="2">
        <v>2</v>
      </c>
      <c r="F1431" s="2">
        <v>2</v>
      </c>
      <c r="H1431" s="2">
        <v>571</v>
      </c>
      <c r="I1431" s="2" t="inlineStr">
        <is>
          <t>$</t>
        </is>
      </c>
      <c r="J1431" s="2">
        <f>HYPERLINK("https://app.astro.lead-studio.pro/product/847308fd-5ccb-49e5-bacb-663c7d7d298a")</f>
      </c>
    </row>
    <row r="1432" spans="1:10" customHeight="0">
      <c r="A1432" s="2" t="inlineStr">
        <is>
          <t>Настольные компьютеры</t>
        </is>
      </c>
      <c r="B1432" s="2" t="inlineStr">
        <is>
          <t>FragMachine</t>
        </is>
      </c>
      <c r="C1432" s="2" t="inlineStr">
        <is>
          <t>F7147R4080S</t>
        </is>
      </c>
      <c r="D1432" s="2" t="inlineStr">
        <is>
          <t>Компьютер FragMachine Fire 7108 (i7-14700KF, DDR5 32GB, SSD 2Tb, RTX 4080 Super, Win 10 Pro)</t>
        </is>
      </c>
      <c r="E1432" s="2">
        <v>2</v>
      </c>
      <c r="F1432" s="2">
        <v>2</v>
      </c>
      <c r="H1432" s="2">
        <v>3255</v>
      </c>
      <c r="I1432" s="2" t="inlineStr">
        <is>
          <t>$</t>
        </is>
      </c>
      <c r="J1432" s="2">
        <f>HYPERLINK("https://app.astro.lead-studio.pro/product/8fda395b-ef03-4ae5-aee1-de506ea434ed")</f>
      </c>
    </row>
    <row r="1433" spans="1:10" customHeight="0">
      <c r="A1433" s="2" t="inlineStr">
        <is>
          <t>Настольные компьютеры</t>
        </is>
      </c>
      <c r="B1433" s="2" t="inlineStr">
        <is>
          <t>FragMachine</t>
        </is>
      </c>
      <c r="C1433" s="2" t="inlineStr">
        <is>
          <t>F9149R5080</t>
        </is>
      </c>
      <c r="D1433" s="2" t="inlineStr">
        <is>
          <t>Компьютер FragMachine Компьютер FragMachine Fire 9101 (i9-14900KF, DDR5 64GB, SSD 2Tb, RTX 5080)</t>
        </is>
      </c>
      <c r="E1433" s="2">
        <v>2</v>
      </c>
      <c r="F1433" s="2">
        <v>2</v>
      </c>
      <c r="H1433" s="2">
        <v>4332</v>
      </c>
      <c r="I1433" s="2" t="inlineStr">
        <is>
          <t>$</t>
        </is>
      </c>
      <c r="J1433" s="2">
        <f>HYPERLINK("https://app.astro.lead-studio.pro/product/c40f37d3-b729-46b8-abda-25df9c6fe213")</f>
      </c>
    </row>
    <row r="1434" spans="1:10" customHeight="0">
      <c r="A1434" s="2" t="inlineStr">
        <is>
          <t>Настольные компьютеры</t>
        </is>
      </c>
      <c r="B1434" s="2" t="inlineStr">
        <is>
          <t>FragMachine</t>
        </is>
      </c>
      <c r="C1434" s="2" t="inlineStr">
        <is>
          <t>L5124R4060</t>
        </is>
      </c>
      <c r="D1434" s="2" t="inlineStr">
        <is>
          <t>Компьютер FragMachine Liquid  5106 (i5-12400F, DDR5 16GB, SSD 1Tb, RTX 4060, noOS)</t>
        </is>
      </c>
      <c r="E1434" s="2">
        <v>1</v>
      </c>
      <c r="F1434" s="2">
        <v>1</v>
      </c>
      <c r="H1434" s="2">
        <v>1113</v>
      </c>
      <c r="I1434" s="2" t="inlineStr">
        <is>
          <t>$</t>
        </is>
      </c>
      <c r="J1434" s="2">
        <f>HYPERLINK("https://app.astro.lead-studio.pro/product/544031ba-4f1c-4cf5-8e27-6e088a86bbbf")</f>
      </c>
    </row>
    <row r="1435" spans="1:10" customHeight="0">
      <c r="A1435" s="2" t="inlineStr">
        <is>
          <t>Настольные компьютеры</t>
        </is>
      </c>
      <c r="B1435" s="2" t="inlineStr">
        <is>
          <t>FragMachine</t>
        </is>
      </c>
      <c r="C1435" s="2" t="inlineStr">
        <is>
          <t>L5124R4060T</t>
        </is>
      </c>
      <c r="D1435" s="2" t="inlineStr">
        <is>
          <t>Компьютер FragMachine Liquid  5106 (i5-12400F, DDR5 16GB, SSD 1Tb, RTX 4060Ti, noOS)</t>
        </is>
      </c>
      <c r="E1435" s="2">
        <v>2</v>
      </c>
      <c r="F1435" s="2">
        <v>2</v>
      </c>
      <c r="H1435" s="2">
        <v>1287</v>
      </c>
      <c r="I1435" s="2" t="inlineStr">
        <is>
          <t>$</t>
        </is>
      </c>
      <c r="J1435" s="2">
        <f>HYPERLINK("https://app.astro.lead-studio.pro/product/c26040a5-6544-4fc8-b39e-49ccbd7bb85b")</f>
      </c>
    </row>
    <row r="1436" spans="1:10" customHeight="0">
      <c r="A1436" s="2" t="inlineStr">
        <is>
          <t>Настольные компьютеры</t>
        </is>
      </c>
      <c r="B1436" s="2" t="inlineStr">
        <is>
          <t>FragMachine</t>
        </is>
      </c>
      <c r="C1436" s="2" t="inlineStr">
        <is>
          <t>L5134R4070</t>
        </is>
      </c>
      <c r="D1436" s="2" t="inlineStr">
        <is>
          <t>Компьютер FragMachine Liquid  5107 (i5-13400F, DDR5 32GB, SSD 1Tb, RTX 4070, noOS)</t>
        </is>
      </c>
      <c r="E1436" s="2">
        <v>1</v>
      </c>
      <c r="F1436" s="2">
        <v>1</v>
      </c>
      <c r="H1436" s="2">
        <v>1626</v>
      </c>
      <c r="I1436" s="2" t="inlineStr">
        <is>
          <t>$</t>
        </is>
      </c>
      <c r="J1436" s="2">
        <f>HYPERLINK("https://app.astro.lead-studio.pro/product/44b5d062-e0bb-4dc5-99c4-7b6e8a0f1872")</f>
      </c>
    </row>
    <row r="1437" spans="1:10" customHeight="0">
      <c r="A1437" s="2" t="inlineStr">
        <is>
          <t>Настольные компьютеры</t>
        </is>
      </c>
      <c r="B1437" s="2" t="inlineStr">
        <is>
          <t>FragMachine</t>
        </is>
      </c>
      <c r="C1437" s="2" t="inlineStr">
        <is>
          <t>L5134R4070S</t>
        </is>
      </c>
      <c r="D1437" s="2" t="inlineStr">
        <is>
          <t>Компьютер FragMachine Liquid  5107 (i5-13400F, DDR5 32GB, SSD 2Tb, RTX 4070 Super, Win 10 Pro)</t>
        </is>
      </c>
      <c r="E1437" s="2">
        <v>1</v>
      </c>
      <c r="F1437" s="2">
        <v>1</v>
      </c>
      <c r="H1437" s="2">
        <v>1781</v>
      </c>
      <c r="I1437" s="2" t="inlineStr">
        <is>
          <t>$</t>
        </is>
      </c>
      <c r="J1437" s="2">
        <f>HYPERLINK("https://app.astro.lead-studio.pro/product/c533fed2-0afb-47a1-ace6-b881515c1c12")</f>
      </c>
    </row>
    <row r="1438" spans="1:10" customHeight="0">
      <c r="A1438" s="2" t="inlineStr">
        <is>
          <t>Настольные компьютеры</t>
        </is>
      </c>
      <c r="B1438" s="2" t="inlineStr">
        <is>
          <t>FragMachine</t>
        </is>
      </c>
      <c r="C1438" s="2" t="inlineStr">
        <is>
          <t>L5136R4070TS</t>
        </is>
      </c>
      <c r="D1438" s="2" t="inlineStr">
        <is>
          <t>Компьютер FragMachine Liquid  5107 (i5-13600KF, DDR5 32GB, SSD 2Tb, RTX 4070Ti Super)</t>
        </is>
      </c>
      <c r="E1438" s="2">
        <v>1</v>
      </c>
      <c r="F1438" s="2">
        <v>1</v>
      </c>
      <c r="H1438" s="2">
        <v>2266</v>
      </c>
      <c r="I1438" s="2" t="inlineStr">
        <is>
          <t>$</t>
        </is>
      </c>
      <c r="J1438" s="2">
        <f>HYPERLINK("https://app.astro.lead-studio.pro/product/c9509f7a-9f60-4165-8216-b1a467e90368")</f>
      </c>
    </row>
    <row r="1439" spans="1:10" customHeight="0">
      <c r="A1439" s="2" t="inlineStr">
        <is>
          <t>Настольные компьютеры</t>
        </is>
      </c>
      <c r="B1439" s="2" t="inlineStr">
        <is>
          <t>FragMachine</t>
        </is>
      </c>
      <c r="C1439" s="2" t="inlineStr">
        <is>
          <t>stc_133731</t>
        </is>
      </c>
      <c r="D1439" s="2" t="inlineStr">
        <is>
          <t>Компьютер игровой FragMachine Liquid  5107 (i5-12400F, 16GB DDR4, SSD 1Tb, RTX 4060, noOS)</t>
        </is>
      </c>
      <c r="E1439" s="2">
        <v>1</v>
      </c>
      <c r="F1439" s="2">
        <v>1</v>
      </c>
      <c r="H1439" s="2">
        <v>1058</v>
      </c>
      <c r="I1439" s="2" t="inlineStr">
        <is>
          <t>$</t>
        </is>
      </c>
      <c r="J1439" s="2">
        <f>HYPERLINK("https://app.astro.lead-studio.pro/product/0243dabd-687a-4e1f-9226-4838e4bc7737")</f>
      </c>
    </row>
    <row r="1440" spans="1:10" customHeight="0">
      <c r="A1440" s="2" t="inlineStr">
        <is>
          <t>Настольные компьютеры</t>
        </is>
      </c>
      <c r="B1440" s="2" t="inlineStr">
        <is>
          <t>Raskat</t>
        </is>
      </c>
      <c r="C1440" s="2" t="inlineStr">
        <is>
          <t>Strike520138005</t>
        </is>
      </c>
      <c r="D1440" s="2" t="inlineStr">
        <is>
          <t>Компьютер Raskat Strike 520 (Cоre i5 12400F, RAM 16GB, SSD 256GB, RTX3050 8GB, Black, NoOS)</t>
        </is>
      </c>
      <c r="E1440" s="2">
        <v>1</v>
      </c>
      <c r="F1440" s="2">
        <v>1</v>
      </c>
      <c r="H1440" s="2">
        <v>692</v>
      </c>
      <c r="I1440" s="2" t="inlineStr">
        <is>
          <t>$</t>
        </is>
      </c>
      <c r="J1440" s="2">
        <f>HYPERLINK("https://app.astro.lead-studio.pro/product/c4907ea5-d791-4f1d-be5b-b825ebf8256c")</f>
      </c>
    </row>
    <row r="1441" spans="1:10" customHeight="0">
      <c r="A1441" s="2" t="inlineStr">
        <is>
          <t>Настольные компьютеры</t>
        </is>
      </c>
      <c r="B1441" s="2" t="inlineStr">
        <is>
          <t>Raskat</t>
        </is>
      </c>
      <c r="C1441" s="2" t="inlineStr">
        <is>
          <t>Standart300108471</t>
        </is>
      </c>
      <c r="D1441" s="2" t="inlineStr">
        <is>
          <t>Компьютер Raskat Компьютер Raskat Standart 300 (Intel Core i3 12100, RAM 8Gb, SSD 240Gb, HDD 1Tb, no OS), 108471</t>
        </is>
      </c>
      <c r="E1441" s="2">
        <v>10</v>
      </c>
      <c r="F1441" s="2">
        <v>10</v>
      </c>
      <c r="H1441" s="2">
        <v>364</v>
      </c>
      <c r="I1441" s="2" t="inlineStr">
        <is>
          <t>$</t>
        </is>
      </c>
      <c r="J1441" s="2">
        <f>HYPERLINK("https://app.astro.lead-studio.pro/product/9a3ab297-fac2-40c7-8081-0d06600bbec8")</f>
      </c>
    </row>
    <row r="1442" spans="1:10" customHeight="0">
      <c r="A1442" s="2" t="inlineStr">
        <is>
          <t>Настольные компьютеры</t>
        </is>
      </c>
      <c r="B1442" s="2" t="inlineStr">
        <is>
          <t>Raskat</t>
        </is>
      </c>
      <c r="C1442" s="2" t="inlineStr">
        <is>
          <t>Standart300128046</t>
        </is>
      </c>
      <c r="D1442" s="2" t="inlineStr">
        <is>
          <t>Компьютер Raskat Компьютер Raskat Standart 300 (Intel Core i3 12100, RAM 16Gb, SSD 480Gb, no OS, kb+ms, black)</t>
        </is>
      </c>
      <c r="E1442" s="2">
        <v>9</v>
      </c>
      <c r="F1442" s="2">
        <v>9</v>
      </c>
      <c r="H1442" s="2">
        <v>341</v>
      </c>
      <c r="I1442" s="2" t="inlineStr">
        <is>
          <t>$</t>
        </is>
      </c>
      <c r="J1442" s="2">
        <f>HYPERLINK("https://app.astro.lead-studio.pro/product/836853e9-25fd-48cb-b848-004587132840")</f>
      </c>
    </row>
    <row r="1443" spans="1:10" customHeight="0">
      <c r="A1443" s="2" t="inlineStr">
        <is>
          <t>Настольные компьютеры</t>
        </is>
      </c>
      <c r="B1443" s="2" t="inlineStr">
        <is>
          <t>Raskat</t>
        </is>
      </c>
      <c r="C1443" s="2" t="inlineStr">
        <is>
          <t>STANDART300184545</t>
        </is>
      </c>
      <c r="D1443" s="2" t="inlineStr">
        <is>
          <t>Компьютер Raskat STANDART 300 (Intel Core i3-14100, RAM 16GB, SSD 256GB, noOS, White)</t>
        </is>
      </c>
      <c r="E1443" s="2">
        <v>5</v>
      </c>
      <c r="F1443" s="2">
        <v>5</v>
      </c>
      <c r="H1443" s="2">
        <v>346</v>
      </c>
      <c r="I1443" s="2" t="inlineStr">
        <is>
          <t>$</t>
        </is>
      </c>
      <c r="J1443" s="2">
        <f>HYPERLINK("https://app.astro.lead-studio.pro/product/4e38e676-73b0-4451-be9d-35dcc4457c53")</f>
      </c>
    </row>
    <row r="1444" spans="1:10" customHeight="0">
      <c r="A1444" s="2" t="inlineStr">
        <is>
          <t>Настольные компьютеры</t>
        </is>
      </c>
      <c r="B1444" s="2" t="inlineStr">
        <is>
          <t>Raskat</t>
        </is>
      </c>
      <c r="C1444" s="2" t="inlineStr">
        <is>
          <t>STANDART300184546</t>
        </is>
      </c>
      <c r="D1444" s="2" t="inlineStr">
        <is>
          <t>Компьютер Raskat STANDART 300 (Intel Core i3-14100, RAM 16GB, SSD 512GB, noOS, Black)</t>
        </is>
      </c>
      <c r="E1444" s="2">
        <v>2</v>
      </c>
      <c r="F1444" s="2">
        <v>2</v>
      </c>
      <c r="H1444" s="2">
        <v>364</v>
      </c>
      <c r="I1444" s="2" t="inlineStr">
        <is>
          <t>$</t>
        </is>
      </c>
      <c r="J1444" s="2">
        <f>HYPERLINK("https://app.astro.lead-studio.pro/product/487aa986-846b-4160-b89b-42aa1823ee0c")</f>
      </c>
    </row>
    <row r="1445" spans="1:10" customHeight="0">
      <c r="A1445" s="2" t="inlineStr">
        <is>
          <t>Настольные компьютеры</t>
        </is>
      </c>
      <c r="B1445" s="2" t="inlineStr">
        <is>
          <t>Raskat</t>
        </is>
      </c>
      <c r="C1445" s="2" t="inlineStr">
        <is>
          <t>STANDART300185513</t>
        </is>
      </c>
      <c r="D1445" s="2" t="inlineStr">
        <is>
          <t>Компьютер Raskat STANDART 300 (Intel Core i3-12100, RAM 16GB, SSD 512GB, noOS, Black)</t>
        </is>
      </c>
      <c r="E1445" s="2">
        <v>6</v>
      </c>
      <c r="F1445" s="2">
        <v>6</v>
      </c>
      <c r="H1445" s="2">
        <v>328</v>
      </c>
      <c r="I1445" s="2" t="inlineStr">
        <is>
          <t>$</t>
        </is>
      </c>
      <c r="J1445" s="2">
        <f>HYPERLINK("https://app.astro.lead-studio.pro/product/63d6eb4d-9535-4ccc-9919-1782db13e61c")</f>
      </c>
    </row>
    <row r="1446" spans="1:10" customHeight="0">
      <c r="A1446" s="2" t="inlineStr">
        <is>
          <t>Настольные компьютеры</t>
        </is>
      </c>
      <c r="B1446" s="2" t="inlineStr">
        <is>
          <t>Raskat</t>
        </is>
      </c>
      <c r="C1446" s="2" t="inlineStr">
        <is>
          <t>STANDART300185514</t>
        </is>
      </c>
      <c r="D1446" s="2" t="inlineStr">
        <is>
          <t>Компьютер Raskat STANDART 300 (Intel Core i3-12100, RAM 16GB, SSD 512GB, noOS, White)</t>
        </is>
      </c>
      <c r="E1446" s="2">
        <v>11</v>
      </c>
      <c r="F1446" s="2">
        <v>11</v>
      </c>
      <c r="H1446" s="2">
        <v>331</v>
      </c>
      <c r="I1446" s="2" t="inlineStr">
        <is>
          <t>$</t>
        </is>
      </c>
      <c r="J1446" s="2">
        <f>HYPERLINK("https://app.astro.lead-studio.pro/product/851c5733-98ba-46ed-8c8d-4ef200ba3588")</f>
      </c>
    </row>
    <row r="1447" spans="1:10" customHeight="0">
      <c r="A1447" s="2" t="inlineStr">
        <is>
          <t>Настольные компьютеры</t>
        </is>
      </c>
      <c r="B1447" s="2" t="inlineStr">
        <is>
          <t>Raskat</t>
        </is>
      </c>
      <c r="C1447" s="2" t="inlineStr">
        <is>
          <t>STANDART307149532</t>
        </is>
      </c>
      <c r="D1447" s="2" t="inlineStr">
        <is>
          <t>Компьютер Raskat STANDART 307 (Intel Core i3-12100, H610, RAM 16GB, SSD 256GB, noOS) </t>
        </is>
      </c>
      <c r="E1447" s="2">
        <v>4</v>
      </c>
      <c r="F1447" s="2">
        <v>4</v>
      </c>
      <c r="H1447" s="2">
        <v>458</v>
      </c>
      <c r="I1447" s="2" t="inlineStr">
        <is>
          <t>$</t>
        </is>
      </c>
      <c r="J1447" s="2">
        <f>HYPERLINK("https://app.astro.lead-studio.pro/product/3dad96c9-dc54-4ea2-9f83-0c88b2499703")</f>
      </c>
    </row>
    <row r="1448" spans="1:10" customHeight="0">
      <c r="A1448" s="2" t="inlineStr">
        <is>
          <t>Настольные компьютеры</t>
        </is>
      </c>
      <c r="B1448" s="2" t="inlineStr">
        <is>
          <t>Raskat</t>
        </is>
      </c>
      <c r="C1448" s="2" t="inlineStr">
        <is>
          <t>STANDART307149534</t>
        </is>
      </c>
      <c r="D1448" s="2" t="inlineStr">
        <is>
          <t>Компьютер Raskat STANDART 307 (Intel Core i3-12100, H610, RAM 16GB, SSD 512GB, noOS) </t>
        </is>
      </c>
      <c r="E1448" s="2">
        <v>25</v>
      </c>
      <c r="F1448" s="2">
        <v>25</v>
      </c>
      <c r="H1448" s="2">
        <v>475</v>
      </c>
      <c r="I1448" s="2" t="inlineStr">
        <is>
          <t>$</t>
        </is>
      </c>
      <c r="J1448" s="2">
        <f>HYPERLINK("https://app.astro.lead-studio.pro/product/cd877d99-0443-4f4e-89a4-504394e26129")</f>
      </c>
    </row>
    <row r="1449" spans="1:10" customHeight="0">
      <c r="A1449" s="2" t="inlineStr">
        <is>
          <t>Настольные компьютеры</t>
        </is>
      </c>
      <c r="B1449" s="2" t="inlineStr">
        <is>
          <t>Raskat</t>
        </is>
      </c>
      <c r="C1449" s="2" t="inlineStr">
        <is>
          <t>STANDART307164448</t>
        </is>
      </c>
      <c r="D1449" s="2" t="inlineStr">
        <is>
          <t>Компьютер Raskat STANDART 307 (Intel Core i3-N300, RAM 16GB, SSD 256GB, noOS)</t>
        </is>
      </c>
      <c r="E1449" s="2">
        <v>7</v>
      </c>
      <c r="F1449" s="2">
        <v>7</v>
      </c>
      <c r="H1449" s="2">
        <v>327</v>
      </c>
      <c r="I1449" s="2" t="inlineStr">
        <is>
          <t>$</t>
        </is>
      </c>
      <c r="J1449" s="2">
        <f>HYPERLINK("https://app.astro.lead-studio.pro/product/a2a0d71d-2615-4113-bddd-791e832880c1")</f>
      </c>
    </row>
    <row r="1450" spans="1:10" customHeight="0">
      <c r="A1450" s="2" t="inlineStr">
        <is>
          <t>Настольные компьютеры</t>
        </is>
      </c>
      <c r="B1450" s="2" t="inlineStr">
        <is>
          <t>Raskat</t>
        </is>
      </c>
      <c r="C1450" s="2" t="inlineStr">
        <is>
          <t>STANDART307164449</t>
        </is>
      </c>
      <c r="D1450" s="2" t="inlineStr">
        <is>
          <t>Компьютер Raskat STANDART 307 (Intel Core i3-N300, RAM 16GB, SSD 512GB, noOS)</t>
        </is>
      </c>
      <c r="E1450" s="2">
        <v>8</v>
      </c>
      <c r="F1450" s="2">
        <v>8</v>
      </c>
      <c r="H1450" s="2">
        <v>350</v>
      </c>
      <c r="I1450" s="2" t="inlineStr">
        <is>
          <t>$</t>
        </is>
      </c>
      <c r="J1450" s="2">
        <f>HYPERLINK("https://app.astro.lead-studio.pro/product/a2ca46b3-c964-4a2f-93da-f4edb987cd71")</f>
      </c>
    </row>
    <row r="1451" spans="1:10" customHeight="0">
      <c r="A1451" s="2" t="inlineStr">
        <is>
          <t>Настольные компьютеры</t>
        </is>
      </c>
      <c r="B1451" s="2" t="inlineStr">
        <is>
          <t>Raskat</t>
        </is>
      </c>
      <c r="C1451" s="2" t="inlineStr">
        <is>
          <t>STANDART307164450</t>
        </is>
      </c>
      <c r="D1451" s="2" t="inlineStr">
        <is>
          <t>Компьютер Raskat STANDART 307 (Intel Core i3-N300, RAM 16GB, SSD 1TB, noOS)</t>
        </is>
      </c>
      <c r="E1451" s="2">
        <v>10</v>
      </c>
      <c r="F1451" s="2">
        <v>10</v>
      </c>
      <c r="H1451" s="2">
        <v>419</v>
      </c>
      <c r="I1451" s="2" t="inlineStr">
        <is>
          <t>$</t>
        </is>
      </c>
      <c r="J1451" s="2">
        <f>HYPERLINK("https://app.astro.lead-studio.pro/product/16b23a6b-7677-407e-829f-70178a8e97d8")</f>
      </c>
    </row>
    <row r="1452" spans="1:10" customHeight="0">
      <c r="A1452" s="2" t="inlineStr">
        <is>
          <t>Настольные компьютеры</t>
        </is>
      </c>
      <c r="B1452" s="2" t="inlineStr">
        <is>
          <t>Raskat</t>
        </is>
      </c>
      <c r="C1452" s="2" t="inlineStr">
        <is>
          <t>STANDART307166130</t>
        </is>
      </c>
      <c r="D1452" s="2" t="inlineStr">
        <is>
          <t>Компьютер Raskat STANDART 307  (Intel Core i3-12100, RAM 8GB, SSD 256GB noOS)</t>
        </is>
      </c>
      <c r="E1452" s="2">
        <v>22</v>
      </c>
      <c r="F1452" s="2">
        <v>22</v>
      </c>
      <c r="H1452" s="2">
        <v>405</v>
      </c>
      <c r="I1452" s="2" t="inlineStr">
        <is>
          <t>$</t>
        </is>
      </c>
      <c r="J1452" s="2">
        <f>HYPERLINK("https://app.astro.lead-studio.pro/product/47df2a69-5ac5-4a47-8027-2d3c574dd06d")</f>
      </c>
    </row>
    <row r="1453" spans="1:10" customHeight="0">
      <c r="A1453" s="2" t="inlineStr">
        <is>
          <t>Настольные компьютеры</t>
        </is>
      </c>
      <c r="B1453" s="2" t="inlineStr">
        <is>
          <t>Raskat</t>
        </is>
      </c>
      <c r="C1453" s="2" t="inlineStr">
        <is>
          <t>STANDART307168807</t>
        </is>
      </c>
      <c r="D1453" s="2" t="inlineStr">
        <is>
          <t>Компьютер Raskat STANDART 307  (Intel Core i3-12100, RAM 8GB, SSD 512GB, noOS)</t>
        </is>
      </c>
      <c r="E1453" s="2">
        <v>6</v>
      </c>
      <c r="F1453" s="2">
        <v>6</v>
      </c>
      <c r="H1453" s="2">
        <v>420</v>
      </c>
      <c r="I1453" s="2" t="inlineStr">
        <is>
          <t>$</t>
        </is>
      </c>
      <c r="J1453" s="2">
        <f>HYPERLINK("https://app.astro.lead-studio.pro/product/c9a8e158-0103-4ef8-a7b0-7b97633852d6")</f>
      </c>
    </row>
    <row r="1454" spans="1:10" customHeight="0">
      <c r="A1454" s="2" t="inlineStr">
        <is>
          <t>Настольные компьютеры</t>
        </is>
      </c>
      <c r="B1454" s="2" t="inlineStr">
        <is>
          <t>Raskat</t>
        </is>
      </c>
      <c r="C1454" s="2" t="inlineStr">
        <is>
          <t>STANDART307168812</t>
        </is>
      </c>
      <c r="D1454" s="2" t="inlineStr">
        <is>
          <t>Компьютер Raskat STANDART 307 (Intel Core i3-12100, RAM 16GB, SSD 256GB, noOS)</t>
        </is>
      </c>
      <c r="E1454" s="2">
        <v>14</v>
      </c>
      <c r="F1454" s="2">
        <v>14</v>
      </c>
      <c r="H1454" s="2">
        <v>438</v>
      </c>
      <c r="I1454" s="2" t="inlineStr">
        <is>
          <t>$</t>
        </is>
      </c>
      <c r="J1454" s="2">
        <f>HYPERLINK("https://app.astro.lead-studio.pro/product/e68d029a-56ef-49be-a8cf-01d3fffb71cc")</f>
      </c>
    </row>
    <row r="1455" spans="1:10" customHeight="0">
      <c r="A1455" s="2" t="inlineStr">
        <is>
          <t>Настольные компьютеры</t>
        </is>
      </c>
      <c r="B1455" s="2" t="inlineStr">
        <is>
          <t>Raskat</t>
        </is>
      </c>
      <c r="C1455" s="2" t="inlineStr">
        <is>
          <t>STANDART307184068</t>
        </is>
      </c>
      <c r="D1455" s="2" t="inlineStr">
        <is>
          <t>Компьютер Raskat STANDART 307 (Intel Core i3-1220P, RAM 16GB, SSD 512GB, noOS)</t>
        </is>
      </c>
      <c r="E1455" s="2">
        <v>9</v>
      </c>
      <c r="F1455" s="2">
        <v>9</v>
      </c>
      <c r="H1455" s="2">
        <v>357</v>
      </c>
      <c r="I1455" s="2" t="inlineStr">
        <is>
          <t>$</t>
        </is>
      </c>
      <c r="J1455" s="2">
        <f>HYPERLINK("https://app.astro.lead-studio.pro/product/d1b296c2-4ca5-481c-9de5-09c8147e0fe2")</f>
      </c>
    </row>
    <row r="1456" spans="1:10" customHeight="0">
      <c r="A1456" s="2" t="inlineStr">
        <is>
          <t>Настольные компьютеры</t>
        </is>
      </c>
      <c r="B1456" s="2" t="inlineStr">
        <is>
          <t>Raskat</t>
        </is>
      </c>
      <c r="C1456" s="2" t="inlineStr">
        <is>
          <t>Standart500116231</t>
        </is>
      </c>
      <c r="D1456" s="2" t="inlineStr">
        <is>
          <t>Компьютер Raskat Компьютер Raskat Standart 500 (Intel Core i5 11400, RAM 8Gb, SSD 240Gb, no OS)</t>
        </is>
      </c>
      <c r="E1456" s="2">
        <v>1</v>
      </c>
      <c r="F1456" s="2">
        <v>1</v>
      </c>
      <c r="H1456" s="2">
        <v>331</v>
      </c>
      <c r="I1456" s="2" t="inlineStr">
        <is>
          <t>$</t>
        </is>
      </c>
      <c r="J1456" s="2">
        <f>HYPERLINK("https://app.astro.lead-studio.pro/product/25b97feb-df4e-4fb1-96a9-61a8915d69e6")</f>
      </c>
    </row>
    <row r="1457" spans="1:10" customHeight="0">
      <c r="A1457" s="2" t="inlineStr">
        <is>
          <t>Настольные компьютеры</t>
        </is>
      </c>
      <c r="B1457" s="2" t="inlineStr">
        <is>
          <t>Raskat</t>
        </is>
      </c>
      <c r="C1457" s="2" t="inlineStr">
        <is>
          <t>Standart500128052</t>
        </is>
      </c>
      <c r="D1457" s="2" t="inlineStr">
        <is>
          <t>Компьютер Raskat Компьютер Raskat Standart 500 (Intel Core i5 10400, RAM 8Gb, SSD 240Gb, no OS, kb+ms, white)</t>
        </is>
      </c>
      <c r="E1457" s="2">
        <v>3</v>
      </c>
      <c r="F1457" s="2">
        <v>3</v>
      </c>
      <c r="H1457" s="2">
        <v>334</v>
      </c>
      <c r="I1457" s="2" t="inlineStr">
        <is>
          <t>$</t>
        </is>
      </c>
      <c r="J1457" s="2">
        <f>HYPERLINK("https://app.astro.lead-studio.pro/product/44586a2c-0894-42a1-b0df-811c607dc973")</f>
      </c>
    </row>
    <row r="1458" spans="1:10" customHeight="0">
      <c r="A1458" s="2" t="inlineStr">
        <is>
          <t>Настольные компьютеры</t>
        </is>
      </c>
      <c r="B1458" s="2" t="inlineStr">
        <is>
          <t>Raskat</t>
        </is>
      </c>
      <c r="C1458" s="2" t="inlineStr">
        <is>
          <t>Standart500128057</t>
        </is>
      </c>
      <c r="D1458" s="2" t="inlineStr">
        <is>
          <t>Компьютер Raskat Компьютер Raskat Standart 500 (Intel Core i5 12400, RAM 16Gb, SSD NVMe 480Gb, no OS, kb+ms, black)</t>
        </is>
      </c>
      <c r="E1458" s="2">
        <v>10</v>
      </c>
      <c r="F1458" s="2">
        <v>10</v>
      </c>
      <c r="H1458" s="2">
        <v>369</v>
      </c>
      <c r="I1458" s="2" t="inlineStr">
        <is>
          <t>$</t>
        </is>
      </c>
      <c r="J1458" s="2">
        <f>HYPERLINK("https://app.astro.lead-studio.pro/product/8caca5a1-6216-43cf-a141-b8dcb540f001")</f>
      </c>
    </row>
    <row r="1459" spans="1:10" customHeight="0">
      <c r="A1459" s="2" t="inlineStr">
        <is>
          <t>Настольные компьютеры</t>
        </is>
      </c>
      <c r="B1459" s="2" t="inlineStr">
        <is>
          <t>Raskat</t>
        </is>
      </c>
      <c r="C1459" s="2" t="inlineStr">
        <is>
          <t>STANDART500184550</t>
        </is>
      </c>
      <c r="D1459" s="2" t="inlineStr">
        <is>
          <t>Компьютер Raskat STANDART 500 (Intel Core i5-14400, RAM 16GB, SSD 512GB, noOS, Black)</t>
        </is>
      </c>
      <c r="E1459" s="2">
        <v>2</v>
      </c>
      <c r="F1459" s="2">
        <v>2</v>
      </c>
      <c r="H1459" s="2">
        <v>485</v>
      </c>
      <c r="I1459" s="2" t="inlineStr">
        <is>
          <t>$</t>
        </is>
      </c>
      <c r="J1459" s="2">
        <f>HYPERLINK("https://app.astro.lead-studio.pro/product/ae5bada1-aeae-4582-a156-6915649f22ff")</f>
      </c>
    </row>
    <row r="1460" spans="1:10" customHeight="0">
      <c r="A1460" s="2" t="inlineStr">
        <is>
          <t>Настольные компьютеры</t>
        </is>
      </c>
      <c r="B1460" s="2" t="inlineStr">
        <is>
          <t>Raskat</t>
        </is>
      </c>
      <c r="C1460" s="2" t="inlineStr">
        <is>
          <t>STANDART500184556</t>
        </is>
      </c>
      <c r="D1460" s="2" t="inlineStr">
        <is>
          <t>Компьютер Raskat STANDART 500 (Intel Core i5-14400, RAM 16GB, SSD 1TB, noOS, Black)</t>
        </is>
      </c>
      <c r="E1460" s="2">
        <v>14</v>
      </c>
      <c r="F1460" s="2">
        <v>14</v>
      </c>
      <c r="H1460" s="2">
        <v>515</v>
      </c>
      <c r="I1460" s="2" t="inlineStr">
        <is>
          <t>$</t>
        </is>
      </c>
      <c r="J1460" s="2">
        <f>HYPERLINK("https://app.astro.lead-studio.pro/product/79da279e-b4af-4964-a2d6-1f033d4f4f8f")</f>
      </c>
    </row>
    <row r="1461" spans="1:10" customHeight="0">
      <c r="A1461" s="2" t="inlineStr">
        <is>
          <t>Настольные компьютеры</t>
        </is>
      </c>
      <c r="B1461" s="2" t="inlineStr">
        <is>
          <t>Raskat</t>
        </is>
      </c>
      <c r="C1461" s="2" t="inlineStr">
        <is>
          <t>STANDART500184558</t>
        </is>
      </c>
      <c r="D1461" s="2" t="inlineStr">
        <is>
          <t>Компьютер Raskat STANDART 500 (Intel Core i5-14400, RAM 16GB, SSD 1TB, noOS, White)</t>
        </is>
      </c>
      <c r="E1461" s="2">
        <v>7</v>
      </c>
      <c r="F1461" s="2">
        <v>7</v>
      </c>
      <c r="H1461" s="2">
        <v>517</v>
      </c>
      <c r="I1461" s="2" t="inlineStr">
        <is>
          <t>$</t>
        </is>
      </c>
      <c r="J1461" s="2">
        <f>HYPERLINK("https://app.astro.lead-studio.pro/product/8a9b1e6f-a70a-46f6-9f84-cd203b7c04cd")</f>
      </c>
    </row>
    <row r="1462" spans="1:10" customHeight="0">
      <c r="A1462" s="2" t="inlineStr">
        <is>
          <t>Настольные компьютеры</t>
        </is>
      </c>
      <c r="B1462" s="2" t="inlineStr">
        <is>
          <t>Raskat</t>
        </is>
      </c>
      <c r="C1462" s="2" t="inlineStr">
        <is>
          <t>STANDART500184561</t>
        </is>
      </c>
      <c r="D1462" s="2" t="inlineStr">
        <is>
          <t>Компьютер Raskat STANDART 500 (Intel Core i5-14500, RAM 32GB, SSD 512GB, noOS, Black)</t>
        </is>
      </c>
      <c r="E1462" s="2">
        <v>5</v>
      </c>
      <c r="F1462" s="2">
        <v>5</v>
      </c>
      <c r="H1462" s="2">
        <v>563</v>
      </c>
      <c r="I1462" s="2" t="inlineStr">
        <is>
          <t>$</t>
        </is>
      </c>
      <c r="J1462" s="2">
        <f>HYPERLINK("https://app.astro.lead-studio.pro/product/8c04d0e8-a1bf-42cb-8b4e-1db4616bdd4b")</f>
      </c>
    </row>
    <row r="1463" spans="1:10" customHeight="0">
      <c r="A1463" s="2" t="inlineStr">
        <is>
          <t>Настольные компьютеры</t>
        </is>
      </c>
      <c r="B1463" s="2" t="inlineStr">
        <is>
          <t>Raskat</t>
        </is>
      </c>
      <c r="C1463" s="2" t="inlineStr">
        <is>
          <t>STANDART500184586</t>
        </is>
      </c>
      <c r="D1463" s="2" t="inlineStr">
        <is>
          <t>Компьютер Raskat STANDART 500 (Intel Core i5-14500, RAM 32GB, SSD 512GB, noOS, White)</t>
        </is>
      </c>
      <c r="E1463" s="2">
        <v>6</v>
      </c>
      <c r="F1463" s="2">
        <v>6</v>
      </c>
      <c r="H1463" s="2">
        <v>564</v>
      </c>
      <c r="I1463" s="2" t="inlineStr">
        <is>
          <t>$</t>
        </is>
      </c>
      <c r="J1463" s="2">
        <f>HYPERLINK("https://app.astro.lead-studio.pro/product/5c16aec0-e626-4e71-873f-10a7a0b3ce17")</f>
      </c>
    </row>
    <row r="1464" spans="1:10" customHeight="0">
      <c r="A1464" s="2" t="inlineStr">
        <is>
          <t>Настольные компьютеры</t>
        </is>
      </c>
      <c r="B1464" s="2" t="inlineStr">
        <is>
          <t>Raskat</t>
        </is>
      </c>
      <c r="C1464" s="2" t="inlineStr">
        <is>
          <t>STANDART500184588</t>
        </is>
      </c>
      <c r="D1464" s="2" t="inlineStr">
        <is>
          <t>Компьютер Raskat STANDART 500 (Intel Core i5-14500, RAM 32GB, SSD 1TB, noOS, Black)</t>
        </is>
      </c>
      <c r="E1464" s="2">
        <v>2</v>
      </c>
      <c r="F1464" s="2">
        <v>2</v>
      </c>
      <c r="H1464" s="2">
        <v>602</v>
      </c>
      <c r="I1464" s="2" t="inlineStr">
        <is>
          <t>$</t>
        </is>
      </c>
      <c r="J1464" s="2">
        <f>HYPERLINK("https://app.astro.lead-studio.pro/product/f440e234-9c02-4543-8b30-131c25afb56b")</f>
      </c>
    </row>
    <row r="1465" spans="1:10" customHeight="0">
      <c r="A1465" s="2" t="inlineStr">
        <is>
          <t>Настольные компьютеры</t>
        </is>
      </c>
      <c r="B1465" s="2" t="inlineStr">
        <is>
          <t>Raskat</t>
        </is>
      </c>
      <c r="C1465" s="2" t="inlineStr">
        <is>
          <t>STANDART500184590</t>
        </is>
      </c>
      <c r="D1465" s="2" t="inlineStr">
        <is>
          <t>Компьютер Raskat STANDART 500 (Intel Core i5-14500, RAM 32GB, SSD 1TB, noOS, White)</t>
        </is>
      </c>
      <c r="E1465" s="2">
        <v>11</v>
      </c>
      <c r="F1465" s="2">
        <v>11</v>
      </c>
      <c r="H1465" s="2">
        <v>589</v>
      </c>
      <c r="I1465" s="2" t="inlineStr">
        <is>
          <t>$</t>
        </is>
      </c>
      <c r="J1465" s="2">
        <f>HYPERLINK("https://app.astro.lead-studio.pro/product/daf4cbdd-d0ab-48ea-8bc3-6b254ccee891")</f>
      </c>
    </row>
    <row r="1466" spans="1:10" customHeight="0">
      <c r="A1466" s="2" t="inlineStr">
        <is>
          <t>Настольные компьютеры</t>
        </is>
      </c>
      <c r="B1466" s="2" t="inlineStr">
        <is>
          <t>Raskat</t>
        </is>
      </c>
      <c r="C1466" s="2" t="inlineStr">
        <is>
          <t>STANDART500185515</t>
        </is>
      </c>
      <c r="D1466" s="2" t="inlineStr">
        <is>
          <t>Компьютер Raskat STANDART 500 (Intel Core i5-12400, RAM 16GB, SSD 256GB, noOS, Black)</t>
        </is>
      </c>
      <c r="E1466" s="2">
        <v>12</v>
      </c>
      <c r="F1466" s="2">
        <v>12</v>
      </c>
      <c r="H1466" s="2">
        <v>343</v>
      </c>
      <c r="I1466" s="2" t="inlineStr">
        <is>
          <t>$</t>
        </is>
      </c>
      <c r="J1466" s="2">
        <f>HYPERLINK("https://app.astro.lead-studio.pro/product/984c65f3-b143-4fdb-9e3d-04c3ba68f89d")</f>
      </c>
    </row>
    <row r="1467" spans="1:10" customHeight="0">
      <c r="A1467" s="2" t="inlineStr">
        <is>
          <t>Настольные компьютеры</t>
        </is>
      </c>
      <c r="B1467" s="2" t="inlineStr">
        <is>
          <t>Raskat</t>
        </is>
      </c>
      <c r="C1467" s="2" t="inlineStr">
        <is>
          <t>STANDART500185517</t>
        </is>
      </c>
      <c r="D1467" s="2" t="inlineStr">
        <is>
          <t>Компьютер Raskat STANDART 500 (Intel Core i5-12400, RAM 16GB, SSD 256GB, noOS, White)</t>
        </is>
      </c>
      <c r="E1467" s="2">
        <v>5</v>
      </c>
      <c r="F1467" s="2">
        <v>5</v>
      </c>
      <c r="H1467" s="2">
        <v>343</v>
      </c>
      <c r="I1467" s="2" t="inlineStr">
        <is>
          <t>$</t>
        </is>
      </c>
      <c r="J1467" s="2">
        <f>HYPERLINK("https://app.astro.lead-studio.pro/product/155800d8-3db7-45d9-bc25-c3f639de5505")</f>
      </c>
    </row>
    <row r="1468" spans="1:10" customHeight="0">
      <c r="A1468" s="2" t="inlineStr">
        <is>
          <t>Настольные компьютеры</t>
        </is>
      </c>
      <c r="B1468" s="2" t="inlineStr">
        <is>
          <t>Raskat</t>
        </is>
      </c>
      <c r="C1468" s="2" t="inlineStr">
        <is>
          <t>STANDART500185519</t>
        </is>
      </c>
      <c r="D1468" s="2" t="inlineStr">
        <is>
          <t>Компьютер Raskat STANDART 500 (Intel Core i5-12400, RAM 16GB, SSD 512GB, noOS, Black)</t>
        </is>
      </c>
      <c r="E1468" s="2">
        <v>5</v>
      </c>
      <c r="F1468" s="2">
        <v>5</v>
      </c>
      <c r="H1468" s="2">
        <v>363</v>
      </c>
      <c r="I1468" s="2" t="inlineStr">
        <is>
          <t>$</t>
        </is>
      </c>
      <c r="J1468" s="2">
        <f>HYPERLINK("https://app.astro.lead-studio.pro/product/10760b53-ec4a-4933-84cd-98d1473235ba")</f>
      </c>
    </row>
    <row r="1469" spans="1:10" customHeight="0">
      <c r="A1469" s="2" t="inlineStr">
        <is>
          <t>Настольные компьютеры</t>
        </is>
      </c>
      <c r="B1469" s="2" t="inlineStr">
        <is>
          <t>Raskat</t>
        </is>
      </c>
      <c r="C1469" s="2" t="inlineStr">
        <is>
          <t>STANDART500185520</t>
        </is>
      </c>
      <c r="D1469" s="2" t="inlineStr">
        <is>
          <t>Компьютер Raskat STANDART 500 (Intel Core i5-12400, RAM 16GB, SSD 512GB, noOS, White)</t>
        </is>
      </c>
      <c r="E1469" s="2">
        <v>4</v>
      </c>
      <c r="F1469" s="2">
        <v>4</v>
      </c>
      <c r="H1469" s="2">
        <v>367</v>
      </c>
      <c r="I1469" s="2" t="inlineStr">
        <is>
          <t>$</t>
        </is>
      </c>
      <c r="J1469" s="2">
        <f>HYPERLINK("https://app.astro.lead-studio.pro/product/cf63d84f-362a-4944-ae25-92effc63a9c7")</f>
      </c>
    </row>
    <row r="1470" spans="1:10" customHeight="0">
      <c r="A1470" s="2" t="inlineStr">
        <is>
          <t>Настольные компьютеры</t>
        </is>
      </c>
      <c r="B1470" s="2" t="inlineStr">
        <is>
          <t>Raskat</t>
        </is>
      </c>
      <c r="C1470" s="2" t="inlineStr">
        <is>
          <t>STANDART500185522</t>
        </is>
      </c>
      <c r="D1470" s="2" t="inlineStr">
        <is>
          <t>Компьютер Raskat STANDART 500 (Intel Core i5-12400, RAM 32GB, SSD 1TB, noOS, White)</t>
        </is>
      </c>
      <c r="E1470" s="2">
        <v>8</v>
      </c>
      <c r="F1470" s="2">
        <v>8</v>
      </c>
      <c r="H1470" s="2">
        <v>424</v>
      </c>
      <c r="I1470" s="2" t="inlineStr">
        <is>
          <t>$</t>
        </is>
      </c>
      <c r="J1470" s="2">
        <f>HYPERLINK("https://app.astro.lead-studio.pro/product/af260692-191e-4a13-a553-9e07bdbf4b44")</f>
      </c>
    </row>
    <row r="1471" spans="1:10" customHeight="0">
      <c r="A1471" s="2" t="inlineStr">
        <is>
          <t>Настольные компьютеры</t>
        </is>
      </c>
      <c r="B1471" s="2" t="inlineStr">
        <is>
          <t>Raskat</t>
        </is>
      </c>
      <c r="C1471" s="2" t="inlineStr">
        <is>
          <t>STANDART507149535</t>
        </is>
      </c>
      <c r="D1471" s="2" t="inlineStr">
        <is>
          <t>Компьютер Raskat STANDART 507 (Intel Core i5-12400, H610, RAM 16GB, SSD 256GB, noOS) </t>
        </is>
      </c>
      <c r="E1471" s="2">
        <v>9</v>
      </c>
      <c r="F1471" s="2">
        <v>9</v>
      </c>
      <c r="H1471" s="2">
        <v>521</v>
      </c>
      <c r="I1471" s="2" t="inlineStr">
        <is>
          <t>$</t>
        </is>
      </c>
      <c r="J1471" s="2">
        <f>HYPERLINK("https://app.astro.lead-studio.pro/product/8429da8b-0491-4a4e-90c0-cfc5e1abdb59")</f>
      </c>
    </row>
    <row r="1472" spans="1:10" customHeight="0">
      <c r="A1472" s="2" t="inlineStr">
        <is>
          <t>Настольные компьютеры</t>
        </is>
      </c>
      <c r="B1472" s="2" t="inlineStr">
        <is>
          <t>Raskat</t>
        </is>
      </c>
      <c r="C1472" s="2" t="inlineStr">
        <is>
          <t>STANDART507149536</t>
        </is>
      </c>
      <c r="D1472" s="2" t="inlineStr">
        <is>
          <t>Компьютер Raskat STANDART 507 (Intel Core i5-12400, H610, RAM 16GB, SSD 512GB, noOS)</t>
        </is>
      </c>
      <c r="E1472" s="2">
        <v>8</v>
      </c>
      <c r="F1472" s="2">
        <v>8</v>
      </c>
      <c r="H1472" s="2">
        <v>538</v>
      </c>
      <c r="I1472" s="2" t="inlineStr">
        <is>
          <t>$</t>
        </is>
      </c>
      <c r="J1472" s="2">
        <f>HYPERLINK("https://app.astro.lead-studio.pro/product/6365aaa8-eadf-41e3-894e-bfa45e47e28f")</f>
      </c>
    </row>
    <row r="1473" spans="1:10" customHeight="0">
      <c r="A1473" s="2" t="inlineStr">
        <is>
          <t>Настольные компьютеры</t>
        </is>
      </c>
      <c r="B1473" s="2" t="inlineStr">
        <is>
          <t>Raskat</t>
        </is>
      </c>
      <c r="C1473" s="2" t="inlineStr">
        <is>
          <t>STANDART507149537</t>
        </is>
      </c>
      <c r="D1473" s="2" t="inlineStr">
        <is>
          <t>Компьютер Raskat STANDART 507 (Intel Core i5-13400, H610, RAM 32GB, SSD 1024GB, noOS) </t>
        </is>
      </c>
      <c r="E1473" s="2">
        <v>5</v>
      </c>
      <c r="F1473" s="2">
        <v>5</v>
      </c>
      <c r="H1473" s="2">
        <v>647</v>
      </c>
      <c r="I1473" s="2" t="inlineStr">
        <is>
          <t>$</t>
        </is>
      </c>
      <c r="J1473" s="2">
        <f>HYPERLINK("https://app.astro.lead-studio.pro/product/e70f7b3a-cdab-4cb2-a534-8896a5f2c18e")</f>
      </c>
    </row>
    <row r="1474" spans="1:10" customHeight="0">
      <c r="A1474" s="2" t="inlineStr">
        <is>
          <t>Настольные компьютеры</t>
        </is>
      </c>
      <c r="B1474" s="2" t="inlineStr">
        <is>
          <t>Raskat</t>
        </is>
      </c>
      <c r="C1474" s="2" t="inlineStr">
        <is>
          <t>STANDART507149541</t>
        </is>
      </c>
      <c r="D1474" s="2" t="inlineStr">
        <is>
          <t>Компьютер Raskat STANDART 507 (Intel Core i5-13500, H610, RAM 32GB, SSD 1024GB, noOS) </t>
        </is>
      </c>
      <c r="E1474" s="2">
        <v>2</v>
      </c>
      <c r="F1474" s="2">
        <v>2</v>
      </c>
      <c r="H1474" s="2">
        <v>680</v>
      </c>
      <c r="I1474" s="2" t="inlineStr">
        <is>
          <t>$</t>
        </is>
      </c>
      <c r="J1474" s="2">
        <f>HYPERLINK("https://app.astro.lead-studio.pro/product/20e4f37f-e240-4783-8ad4-30d2504de09a")</f>
      </c>
    </row>
    <row r="1475" spans="1:10" customHeight="0">
      <c r="A1475" s="2" t="inlineStr">
        <is>
          <t>Настольные компьютеры</t>
        </is>
      </c>
      <c r="B1475" s="2" t="inlineStr">
        <is>
          <t>Raskat</t>
        </is>
      </c>
      <c r="C1475" s="2" t="inlineStr">
        <is>
          <t>STANDART507168813</t>
        </is>
      </c>
      <c r="D1475" s="2" t="inlineStr">
        <is>
          <t>Компьютер Raskat STANDART 507 (Intel Core i5-12400, RAM 16GB, SSD 256GB, noOS)</t>
        </is>
      </c>
      <c r="E1475" s="2">
        <v>5</v>
      </c>
      <c r="F1475" s="2">
        <v>5</v>
      </c>
      <c r="H1475" s="2">
        <v>457</v>
      </c>
      <c r="I1475" s="2" t="inlineStr">
        <is>
          <t>$</t>
        </is>
      </c>
      <c r="J1475" s="2">
        <f>HYPERLINK("https://app.astro.lead-studio.pro/product/562d02e4-da0e-40bb-94be-f909391dad46")</f>
      </c>
    </row>
    <row r="1476" spans="1:10" customHeight="0">
      <c r="A1476" s="2" t="inlineStr">
        <is>
          <t>Настольные компьютеры</t>
        </is>
      </c>
      <c r="B1476" s="2" t="inlineStr">
        <is>
          <t>Raskat</t>
        </is>
      </c>
      <c r="C1476" s="2" t="inlineStr">
        <is>
          <t>STANDART507168816</t>
        </is>
      </c>
      <c r="D1476" s="2" t="inlineStr">
        <is>
          <t>Компьютер Raskat STANDART 507 (Intel Core i5-12400, RAM 16GB, SSD 512GB, noOS)</t>
        </is>
      </c>
      <c r="E1476" s="2">
        <v>4</v>
      </c>
      <c r="F1476" s="2">
        <v>4</v>
      </c>
      <c r="H1476" s="2">
        <v>480</v>
      </c>
      <c r="I1476" s="2" t="inlineStr">
        <is>
          <t>$</t>
        </is>
      </c>
      <c r="J1476" s="2">
        <f>HYPERLINK("https://app.astro.lead-studio.pro/product/e9c47218-325e-40aa-96af-f3994920b59d")</f>
      </c>
    </row>
    <row r="1477" spans="1:10" customHeight="0">
      <c r="A1477" s="2" t="inlineStr">
        <is>
          <t>Настольные компьютеры</t>
        </is>
      </c>
      <c r="B1477" s="2" t="inlineStr">
        <is>
          <t>Raskat</t>
        </is>
      </c>
      <c r="C1477" s="2" t="inlineStr">
        <is>
          <t>STANDART507168818</t>
        </is>
      </c>
      <c r="D1477" s="2" t="inlineStr">
        <is>
          <t>Компьютер Raskat STANDART 507 (Intel Core i5-12400, RAM 16GB, SSD 1TB, noOS)</t>
        </is>
      </c>
      <c r="E1477" s="2">
        <v>20</v>
      </c>
      <c r="F1477" s="2">
        <v>20</v>
      </c>
      <c r="H1477" s="2">
        <v>526</v>
      </c>
      <c r="I1477" s="2" t="inlineStr">
        <is>
          <t>$</t>
        </is>
      </c>
      <c r="J1477" s="2">
        <f>HYPERLINK("https://app.astro.lead-studio.pro/product/41022126-761c-45fc-ac4a-1338fdba4c28")</f>
      </c>
    </row>
    <row r="1478" spans="1:10" customHeight="0">
      <c r="A1478" s="2" t="inlineStr">
        <is>
          <t>Настольные компьютеры</t>
        </is>
      </c>
      <c r="B1478" s="2" t="inlineStr">
        <is>
          <t>Raskat</t>
        </is>
      </c>
      <c r="C1478" s="2" t="inlineStr">
        <is>
          <t>STANDART507168820</t>
        </is>
      </c>
      <c r="D1478" s="2" t="inlineStr">
        <is>
          <t>Компьютер Raskat STANDART 507 (Intel Core i5-12400, RAM 32GB, SSD 1TB, noOS)</t>
        </is>
      </c>
      <c r="E1478" s="2">
        <v>18</v>
      </c>
      <c r="F1478" s="2">
        <v>18</v>
      </c>
      <c r="H1478" s="2">
        <v>536</v>
      </c>
      <c r="I1478" s="2" t="inlineStr">
        <is>
          <t>$</t>
        </is>
      </c>
      <c r="J1478" s="2">
        <f>HYPERLINK("https://app.astro.lead-studio.pro/product/da8f84e4-348a-4197-9dab-52bcf049485b")</f>
      </c>
    </row>
    <row r="1479" spans="1:10" customHeight="0">
      <c r="A1479" s="2" t="inlineStr">
        <is>
          <t>Настольные компьютеры</t>
        </is>
      </c>
      <c r="B1479" s="2" t="inlineStr">
        <is>
          <t>Raskat</t>
        </is>
      </c>
      <c r="C1479" s="2" t="inlineStr">
        <is>
          <t>STANDART507184075</t>
        </is>
      </c>
      <c r="D1479" s="2" t="inlineStr">
        <is>
          <t>Компьютер Raskat STANDART 507 (Intel Core i5-12450H, RAM 16GB, SSD 512GB, noOS)</t>
        </is>
      </c>
      <c r="E1479" s="2">
        <v>10</v>
      </c>
      <c r="F1479" s="2">
        <v>10</v>
      </c>
      <c r="H1479" s="2">
        <v>398</v>
      </c>
      <c r="I1479" s="2" t="inlineStr">
        <is>
          <t>$</t>
        </is>
      </c>
      <c r="J1479" s="2">
        <f>HYPERLINK("https://app.astro.lead-studio.pro/product/b0a62df5-8ba4-4e9b-aa0b-38268898be07")</f>
      </c>
    </row>
    <row r="1480" spans="1:10" customHeight="0">
      <c r="A1480" s="2" t="inlineStr">
        <is>
          <t>Настольные компьютеры</t>
        </is>
      </c>
      <c r="B1480" s="2" t="inlineStr">
        <is>
          <t>Raskat</t>
        </is>
      </c>
      <c r="C1480" s="2" t="inlineStr">
        <is>
          <t>STANDART507184076</t>
        </is>
      </c>
      <c r="D1480" s="2" t="inlineStr">
        <is>
          <t>Компьютер Raskat STANDART 507 (Intel Core i5-12450H, RAM 16GB, SSD 1TB, noOS)</t>
        </is>
      </c>
      <c r="E1480" s="2">
        <v>10</v>
      </c>
      <c r="F1480" s="2">
        <v>10</v>
      </c>
      <c r="H1480" s="2">
        <v>429</v>
      </c>
      <c r="I1480" s="2" t="inlineStr">
        <is>
          <t>$</t>
        </is>
      </c>
      <c r="J1480" s="2">
        <f>HYPERLINK("https://app.astro.lead-studio.pro/product/0c638bc5-06e2-40e1-a6ea-f16d741222fa")</f>
      </c>
    </row>
    <row r="1481" spans="1:10" customHeight="0">
      <c r="A1481" s="2" t="inlineStr">
        <is>
          <t>Настольные компьютеры</t>
        </is>
      </c>
      <c r="B1481" s="2" t="inlineStr">
        <is>
          <t>Raskat</t>
        </is>
      </c>
      <c r="C1481" s="2" t="inlineStr">
        <is>
          <t>STANDART707184079</t>
        </is>
      </c>
      <c r="D1481" s="2" t="inlineStr">
        <is>
          <t>Компьютер Raskat STANDART 707 (Intel Core i7-12650H, RAM 16GB, SSD 512GB, noOS)</t>
        </is>
      </c>
      <c r="E1481" s="2">
        <v>18</v>
      </c>
      <c r="F1481" s="2">
        <v>18</v>
      </c>
      <c r="H1481" s="2">
        <v>439</v>
      </c>
      <c r="I1481" s="2" t="inlineStr">
        <is>
          <t>$</t>
        </is>
      </c>
      <c r="J1481" s="2">
        <f>HYPERLINK("https://app.astro.lead-studio.pro/product/f85f39e4-0173-42d7-ba33-ea2d36f4ff3b")</f>
      </c>
    </row>
    <row r="1482" spans="1:10" customHeight="0">
      <c r="A1482" s="2" t="inlineStr">
        <is>
          <t>Настольные компьютеры</t>
        </is>
      </c>
      <c r="B1482" s="2" t="inlineStr">
        <is>
          <t>Raskat</t>
        </is>
      </c>
      <c r="C1482" s="2" t="inlineStr">
        <is>
          <t>STANDART707184083</t>
        </is>
      </c>
      <c r="D1482" s="2" t="inlineStr">
        <is>
          <t>Компьютер Raskat STANDART 707 (Intel Core i7-12650H, RAM 32GB, SSD 1TB, noOS)</t>
        </is>
      </c>
      <c r="E1482" s="2">
        <v>12</v>
      </c>
      <c r="F1482" s="2">
        <v>12</v>
      </c>
      <c r="H1482" s="2">
        <v>503</v>
      </c>
      <c r="I1482" s="2" t="inlineStr">
        <is>
          <t>$</t>
        </is>
      </c>
      <c r="J1482" s="2">
        <f>HYPERLINK("https://app.astro.lead-studio.pro/product/c8f98f1b-46cf-40cf-bbd1-def00a5c85e5")</f>
      </c>
    </row>
    <row r="1483" spans="1:10" customHeight="0">
      <c r="A1483" s="2" t="inlineStr">
        <is>
          <t>Настольные компьютеры</t>
        </is>
      </c>
      <c r="B1483" s="2" t="inlineStr">
        <is>
          <t>Raskat</t>
        </is>
      </c>
      <c r="C1483" s="2" t="inlineStr">
        <is>
          <t>STATION930166326</t>
        </is>
      </c>
      <c r="D1483" s="2" t="inlineStr">
        <is>
          <t>Компьютер Raskat STATION 930 (Intel Core i9-14900K, Intel Z790, RAM 64GB, SSD 2TB, NVIDIA QUADRO RTX A5000 32GB, 1650W, noOS)</t>
        </is>
      </c>
      <c r="E1483" s="2">
        <v>1</v>
      </c>
      <c r="F1483" s="2">
        <v>1</v>
      </c>
      <c r="H1483" s="2">
        <v>9628</v>
      </c>
      <c r="I1483" s="2" t="inlineStr">
        <is>
          <t>$</t>
        </is>
      </c>
      <c r="J1483" s="2">
        <f>HYPERLINK("https://app.astro.lead-studio.pro/product/407ab0c2-f61b-432d-853e-799227d21ebe")</f>
      </c>
    </row>
    <row r="1484" spans="1:10" customHeight="0">
      <c r="A1484" s="2" t="inlineStr">
        <is>
          <t>Настольные компьютеры</t>
        </is>
      </c>
      <c r="B1484" s="2" t="inlineStr">
        <is>
          <t>Raskat</t>
        </is>
      </c>
      <c r="C1484" s="2" t="inlineStr">
        <is>
          <t>STRIKE320190426</t>
        </is>
      </c>
      <c r="D1484" s="2" t="inlineStr">
        <is>
          <t>Компьютер Raskat STRIKE 320 (Intel Core i3-12100F, RAM 16GB, SSD 512GB, NVIDIA RTX 3050 6GB, noOS, white)</t>
        </is>
      </c>
      <c r="E1484" s="2">
        <v>10</v>
      </c>
      <c r="F1484" s="2">
        <v>10</v>
      </c>
      <c r="H1484" s="2">
        <v>602</v>
      </c>
      <c r="I1484" s="2" t="inlineStr">
        <is>
          <t>$</t>
        </is>
      </c>
      <c r="J1484" s="2">
        <f>HYPERLINK("https://app.astro.lead-studio.pro/product/6ce868a3-c0a1-4921-bca8-0f6d875db7c0")</f>
      </c>
    </row>
    <row r="1485" spans="1:10" customHeight="0">
      <c r="A1485" s="2" t="inlineStr">
        <is>
          <t>Настольные компьютеры</t>
        </is>
      </c>
      <c r="B1485" s="2" t="inlineStr">
        <is>
          <t>Raskat</t>
        </is>
      </c>
      <c r="C1485" s="2" t="inlineStr">
        <is>
          <t>STRIKE320190434</t>
        </is>
      </c>
      <c r="D1485" s="2" t="inlineStr">
        <is>
          <t>Компьютер Raskat STRIKE 320 (Intel Core i3-12100F, RAM 16GB, SSD 512GB, NVIDIA RTX 3050 6GB, noOS, black)</t>
        </is>
      </c>
      <c r="E1485" s="2">
        <v>10</v>
      </c>
      <c r="F1485" s="2">
        <v>10</v>
      </c>
      <c r="H1485" s="2">
        <v>597</v>
      </c>
      <c r="I1485" s="2" t="inlineStr">
        <is>
          <t>$</t>
        </is>
      </c>
      <c r="J1485" s="2">
        <f>HYPERLINK("https://app.astro.lead-studio.pro/product/4797e6e2-cf36-40d9-9552-b655d3ae4f42")</f>
      </c>
    </row>
    <row r="1486" spans="1:10" customHeight="0">
      <c r="A1486" s="2" t="inlineStr">
        <is>
          <t>Настольные компьютеры</t>
        </is>
      </c>
      <c r="B1486" s="2" t="inlineStr">
        <is>
          <t>Raskat</t>
        </is>
      </c>
      <c r="C1486" s="2" t="inlineStr">
        <is>
          <t>STRIKE520182130</t>
        </is>
      </c>
      <c r="D1486" s="2" t="inlineStr">
        <is>
          <t>Компьютер Raskat STRIKE 520 (Intel Core i5-12400F, RAM 16GB, SSD 512GB, NVIDIA RTX 4060 8GB, noOS)</t>
        </is>
      </c>
      <c r="E1486" s="2">
        <v>4</v>
      </c>
      <c r="F1486" s="2">
        <v>4</v>
      </c>
      <c r="H1486" s="2">
        <v>824</v>
      </c>
      <c r="I1486" s="2" t="inlineStr">
        <is>
          <t>$</t>
        </is>
      </c>
      <c r="J1486" s="2">
        <f>HYPERLINK("https://app.astro.lead-studio.pro/product/c607a8e9-b4d0-444d-9051-cc12d6926d9b")</f>
      </c>
    </row>
    <row r="1487" spans="1:10" customHeight="0">
      <c r="A1487" s="2" t="inlineStr">
        <is>
          <t>Настольные компьютеры</t>
        </is>
      </c>
      <c r="B1487" s="2" t="inlineStr">
        <is>
          <t>Raskat</t>
        </is>
      </c>
      <c r="C1487" s="2" t="inlineStr">
        <is>
          <t>STRIKE520182132</t>
        </is>
      </c>
      <c r="D1487" s="2" t="inlineStr">
        <is>
          <t>Компьютер Raskat STRIKE 520 (Intel Core i5-13400F, RAM 32GB, SSD 1TB, NVIDIA RTX 4060 8GB, noOS) </t>
        </is>
      </c>
      <c r="E1487" s="2">
        <v>2</v>
      </c>
      <c r="F1487" s="2">
        <v>2</v>
      </c>
      <c r="H1487" s="2">
        <v>954</v>
      </c>
      <c r="I1487" s="2" t="inlineStr">
        <is>
          <t>$</t>
        </is>
      </c>
      <c r="J1487" s="2">
        <f>HYPERLINK("https://app.astro.lead-studio.pro/product/67e0398c-30d5-4958-8c8e-14a0b3691be8")</f>
      </c>
    </row>
    <row r="1488" spans="1:10" customHeight="0">
      <c r="A1488" s="2" t="inlineStr">
        <is>
          <t>Настольные компьютеры</t>
        </is>
      </c>
      <c r="B1488" s="2" t="inlineStr">
        <is>
          <t>Raskat</t>
        </is>
      </c>
      <c r="C1488" s="2" t="inlineStr">
        <is>
          <t>STRIKE520182135</t>
        </is>
      </c>
      <c r="D1488" s="2" t="inlineStr">
        <is>
          <t>Компьютер Raskat STRIKE 520 (Intel Core i5-12400F, RAM 16GB, SSD 1TB, NVIDIA RTX 4060Ti 8GB, noOS)</t>
        </is>
      </c>
      <c r="E1488" s="2">
        <v>4</v>
      </c>
      <c r="F1488" s="2">
        <v>4</v>
      </c>
      <c r="H1488" s="2">
        <v>1007</v>
      </c>
      <c r="I1488" s="2" t="inlineStr">
        <is>
          <t>$</t>
        </is>
      </c>
      <c r="J1488" s="2">
        <f>HYPERLINK("https://app.astro.lead-studio.pro/product/e596932c-fee2-4776-bda0-0cf631cac6ed")</f>
      </c>
    </row>
    <row r="1489" spans="1:10" customHeight="0">
      <c r="A1489" s="2" t="inlineStr">
        <is>
          <t>Настольные компьютеры</t>
        </is>
      </c>
      <c r="B1489" s="2" t="inlineStr">
        <is>
          <t>Raskat</t>
        </is>
      </c>
      <c r="C1489" s="2" t="inlineStr">
        <is>
          <t>STRIKE520182137</t>
        </is>
      </c>
      <c r="D1489" s="2" t="inlineStr">
        <is>
          <t>Компьютер Raskat STRIKE 520 (Intel Core i5-13400F, RAM 32GB, SSD 1TB, NVIDIA RTX 4070 SUPER 12GB, noOS)</t>
        </is>
      </c>
      <c r="E1489" s="2">
        <v>3</v>
      </c>
      <c r="F1489" s="2">
        <v>3</v>
      </c>
      <c r="H1489" s="2">
        <v>1388</v>
      </c>
      <c r="I1489" s="2" t="inlineStr">
        <is>
          <t>$</t>
        </is>
      </c>
      <c r="J1489" s="2">
        <f>HYPERLINK("https://app.astro.lead-studio.pro/product/7e8bb8fe-1e45-488a-8f29-774c11649854")</f>
      </c>
    </row>
    <row r="1490" spans="1:10" customHeight="0">
      <c r="A1490" s="2" t="inlineStr">
        <is>
          <t>Настольные компьютеры</t>
        </is>
      </c>
      <c r="B1490" s="2" t="inlineStr">
        <is>
          <t>Raskat</t>
        </is>
      </c>
      <c r="C1490" s="2" t="inlineStr">
        <is>
          <t>STRIKE520190430</t>
        </is>
      </c>
      <c r="D1490" s="2" t="inlineStr">
        <is>
          <t>Компьютер Raskat STRIKE 520 (Intel Core i5-12400F, RAM 16GB, SSD 512GB, NVIDIA RTX 4060 8GB, noOS, black)</t>
        </is>
      </c>
      <c r="E1490" s="2">
        <v>10</v>
      </c>
      <c r="F1490" s="2">
        <v>10</v>
      </c>
      <c r="H1490" s="2">
        <v>788</v>
      </c>
      <c r="I1490" s="2" t="inlineStr">
        <is>
          <t>$</t>
        </is>
      </c>
      <c r="J1490" s="2">
        <f>HYPERLINK("https://app.astro.lead-studio.pro/product/169272e8-8fae-4ea6-98eb-f85ce8157d1b")</f>
      </c>
    </row>
    <row r="1491" spans="1:10" customHeight="0">
      <c r="A1491" s="2" t="inlineStr">
        <is>
          <t>Настольные компьютеры</t>
        </is>
      </c>
      <c r="B1491" s="2" t="inlineStr">
        <is>
          <t>Raskat</t>
        </is>
      </c>
      <c r="C1491" s="2" t="inlineStr">
        <is>
          <t>STRIKE520190435</t>
        </is>
      </c>
      <c r="D1491" s="2" t="inlineStr">
        <is>
          <t>Компьютер Raskat STRIKE 520 (Intel Core i5-12400F, RAM 16GB, SSD 512GB, NVIDIA RTX 4060 8GB, noOS, white) </t>
        </is>
      </c>
      <c r="E1491" s="2">
        <v>10</v>
      </c>
      <c r="F1491" s="2">
        <v>10</v>
      </c>
      <c r="H1491" s="2">
        <v>790</v>
      </c>
      <c r="I1491" s="2" t="inlineStr">
        <is>
          <t>$</t>
        </is>
      </c>
      <c r="J1491" s="2">
        <f>HYPERLINK("https://app.astro.lead-studio.pro/product/cd177307-27bb-4f27-9cab-2e104a6e60e0")</f>
      </c>
    </row>
    <row r="1492" spans="1:10" customHeight="0">
      <c r="A1492" s="2" t="inlineStr">
        <is>
          <t>Настольные компьютеры</t>
        </is>
      </c>
      <c r="B1492" s="2" t="inlineStr">
        <is>
          <t>Raskat</t>
        </is>
      </c>
      <c r="C1492" s="2" t="inlineStr">
        <is>
          <t>STRIKE520190436</t>
        </is>
      </c>
      <c r="D1492" s="2" t="inlineStr">
        <is>
          <t>Компьютер Raskat STRIKE 520 (Intel Core i5-12400F, RAM 32GB, SSD 1Tb, NVIDIA RTX 4060 8GB, noOS, black)</t>
        </is>
      </c>
      <c r="E1492" s="2">
        <v>8</v>
      </c>
      <c r="F1492" s="2">
        <v>8</v>
      </c>
      <c r="H1492" s="2">
        <v>852</v>
      </c>
      <c r="I1492" s="2" t="inlineStr">
        <is>
          <t>$</t>
        </is>
      </c>
      <c r="J1492" s="2">
        <f>HYPERLINK("https://app.astro.lead-studio.pro/product/bdd27a2b-dfda-439c-bd6c-129828c933d2")</f>
      </c>
    </row>
    <row r="1493" spans="1:10" customHeight="0">
      <c r="A1493" s="2" t="inlineStr">
        <is>
          <t>Настольные компьютеры</t>
        </is>
      </c>
      <c r="B1493" s="2" t="inlineStr">
        <is>
          <t>Raskat</t>
        </is>
      </c>
      <c r="C1493" s="2" t="inlineStr">
        <is>
          <t>STRIKE520190438</t>
        </is>
      </c>
      <c r="D1493" s="2" t="inlineStr">
        <is>
          <t>Компьютер Raskat  STRIKE 520 (Intel Core i5-12400F, RAM 32GB, SSD 1Tb, NVIDIA RTX 4060 8GB, noOS, white)</t>
        </is>
      </c>
      <c r="E1493" s="2">
        <v>8</v>
      </c>
      <c r="F1493" s="2">
        <v>8</v>
      </c>
      <c r="H1493" s="2">
        <v>856</v>
      </c>
      <c r="I1493" s="2" t="inlineStr">
        <is>
          <t>$</t>
        </is>
      </c>
      <c r="J1493" s="2">
        <f>HYPERLINK("https://app.astro.lead-studio.pro/product/b5f7d6f0-7a6a-47a9-9ae3-3939dff33f96")</f>
      </c>
    </row>
    <row r="1494" spans="1:10" customHeight="0">
      <c r="A1494" s="2" t="inlineStr">
        <is>
          <t>Настольные компьютеры</t>
        </is>
      </c>
      <c r="B1494" s="2" t="inlineStr">
        <is>
          <t>Raskat</t>
        </is>
      </c>
      <c r="C1494" s="2" t="inlineStr">
        <is>
          <t>STRIKE520190440</t>
        </is>
      </c>
      <c r="D1494" s="2" t="inlineStr">
        <is>
          <t>Компьютер Raskat STRIKE 520 (Intel Core i5-12400F, RAM 16GB, SSD 512GB, NVIDIA RTX 3050 8GB, noOS, black)</t>
        </is>
      </c>
      <c r="E1494" s="2">
        <v>10</v>
      </c>
      <c r="F1494" s="2">
        <v>10</v>
      </c>
      <c r="H1494" s="2">
        <v>691</v>
      </c>
      <c r="I1494" s="2" t="inlineStr">
        <is>
          <t>$</t>
        </is>
      </c>
      <c r="J1494" s="2">
        <f>HYPERLINK("https://app.astro.lead-studio.pro/product/f6cbe62a-47d7-47ce-8842-c91367904ee7")</f>
      </c>
    </row>
    <row r="1495" spans="1:10" customHeight="0">
      <c r="A1495" s="2" t="inlineStr">
        <is>
          <t>Настольные компьютеры</t>
        </is>
      </c>
      <c r="B1495" s="2" t="inlineStr">
        <is>
          <t>Raskat</t>
        </is>
      </c>
      <c r="C1495" s="2" t="inlineStr">
        <is>
          <t>STRIKE520190451</t>
        </is>
      </c>
      <c r="D1495" s="2" t="inlineStr">
        <is>
          <t>Компьютер Raskat STRIKE 520 (Intel Core i5-12400F, RAM 16GB, SSD 512GB, NVIDIA RTX 3050 8GB, noOS, white)</t>
        </is>
      </c>
      <c r="E1495" s="2">
        <v>10</v>
      </c>
      <c r="F1495" s="2">
        <v>10</v>
      </c>
      <c r="H1495" s="2">
        <v>684</v>
      </c>
      <c r="I1495" s="2" t="inlineStr">
        <is>
          <t>$</t>
        </is>
      </c>
      <c r="J1495" s="2">
        <f>HYPERLINK("https://app.astro.lead-studio.pro/product/0c310b78-9301-4d4d-8195-0ef3664c690c")</f>
      </c>
    </row>
    <row r="1496" spans="1:10" customHeight="0">
      <c r="A1496" s="2" t="inlineStr">
        <is>
          <t>Настольные компьютеры</t>
        </is>
      </c>
      <c r="B1496" s="2" t="inlineStr">
        <is>
          <t>Raskat</t>
        </is>
      </c>
      <c r="C1496" s="2" t="inlineStr">
        <is>
          <t>STUDIO25120146987</t>
        </is>
      </c>
      <c r="D1496" s="2" t="inlineStr">
        <is>
          <t>Моноблок Raskat STUDIO 25120 (27" IPS, i5-12400, RAM 16GB, SSD 256GB, UHD 730, 120W, No OS)</t>
        </is>
      </c>
      <c r="E1496" s="2">
        <v>3</v>
      </c>
      <c r="F1496" s="2">
        <v>3</v>
      </c>
      <c r="H1496" s="2">
        <v>545</v>
      </c>
      <c r="I1496" s="2" t="inlineStr">
        <is>
          <t>$</t>
        </is>
      </c>
      <c r="J1496" s="2">
        <f>HYPERLINK("https://app.astro.lead-studio.pro/product/a440ec3d-77dc-44ed-9c42-8a219b80fb19")</f>
      </c>
    </row>
    <row r="1497" spans="1:10" customHeight="0">
      <c r="A1497" s="2" t="inlineStr">
        <is>
          <t>Настольные компьютеры</t>
        </is>
      </c>
      <c r="B1497" s="2" t="inlineStr">
        <is>
          <t>Lenovo</t>
        </is>
      </c>
      <c r="C1497" s="2" t="inlineStr">
        <is>
          <t>12E4SAVY01</t>
        </is>
      </c>
      <c r="D1497" s="2" t="inlineStr">
        <is>
          <t>Настольный ПК Lenovo ThinkCentre M70q Gen 4 Tiny Core i3-13100T/8Gb/SSD256Gb/VESA/ru kb/m/noOS/black (12E4SAVV01)</t>
        </is>
      </c>
      <c r="E1497" s="2">
        <v>10</v>
      </c>
      <c r="F1497" s="2">
        <v>10</v>
      </c>
      <c r="H1497" s="2">
        <v>583</v>
      </c>
      <c r="I1497" s="2" t="inlineStr">
        <is>
          <t>$</t>
        </is>
      </c>
      <c r="J1497" s="2">
        <f>HYPERLINK("https://app.astro.lead-studio.pro/product/6ddaf3d2-ae7a-4c74-8b1a-1d17bb516177")</f>
      </c>
    </row>
    <row r="1498" spans="1:10" customHeight="0">
      <c r="A1498" s="2" t="inlineStr">
        <is>
          <t>Настольные компьютеры</t>
        </is>
      </c>
      <c r="B1498" s="2" t="inlineStr">
        <is>
          <t>Lenovo</t>
        </is>
      </c>
      <c r="C1498" s="2" t="inlineStr">
        <is>
          <t>12LMS19700</t>
        </is>
      </c>
      <c r="D1498" s="2" t="inlineStr">
        <is>
          <t>Компьютер Lenovo ThinkCentre Neo 50q Gen 4 Intel Core i5-13420H/16Gb/SSD512Gb/Intel UHD Graphics/Win11Pro (12LMS19700)</t>
        </is>
      </c>
      <c r="E1498" s="2">
        <v>100</v>
      </c>
      <c r="F1498" s="2">
        <v>100</v>
      </c>
      <c r="H1498" s="2">
        <v>858</v>
      </c>
      <c r="I1498" s="2" t="inlineStr">
        <is>
          <t>$</t>
        </is>
      </c>
      <c r="J1498" s="2">
        <f>HYPERLINK("https://app.astro.lead-studio.pro/product/6facb60b-2159-4799-8b97-799a2f3cea6b")</f>
      </c>
    </row>
    <row r="1499" spans="1:10" customHeight="0">
      <c r="A1499" s="2" t="inlineStr">
        <is>
          <t>Настольные компьютеры</t>
        </is>
      </c>
      <c r="B1499" s="2" t="inlineStr">
        <is>
          <t>Acer</t>
        </is>
      </c>
      <c r="C1499" s="2" t="inlineStr">
        <is>
          <t>DT.VXVCD.002</t>
        </is>
      </c>
      <c r="D1499" s="2" t="inlineStr">
        <is>
          <t>Компьютер Acer Veriton N4710GT Core i5 13400/8Gb/SSD512Gb/VESA kit/noOS/Black (DT.VXVCD.002)</t>
        </is>
      </c>
      <c r="E1499" s="2">
        <v>1</v>
      </c>
      <c r="F1499" s="2">
        <v>1</v>
      </c>
      <c r="H1499" s="2">
        <v>607</v>
      </c>
      <c r="I1499" s="2" t="inlineStr">
        <is>
          <t>$</t>
        </is>
      </c>
      <c r="J1499" s="2">
        <f>HYPERLINK("https://app.astro.lead-studio.pro/product/55863b8d-47a2-4646-8ca8-0e32359eb7ec")</f>
      </c>
    </row>
    <row r="1500" spans="1:10" customHeight="0">
      <c r="A1500" s="2" t="inlineStr">
        <is>
          <t>Настольные компьютеры</t>
        </is>
      </c>
      <c r="B1500" s="2" t="inlineStr">
        <is>
          <t>Raskat</t>
        </is>
      </c>
      <c r="C1500" s="2" t="inlineStr">
        <is>
          <t>STANDART307_157955</t>
        </is>
      </c>
      <c r="D1500" s="2" t="inlineStr">
        <is>
          <t>Компьютер Raskat STANDART 307 (i3-10105, H410, RAM 8Gb, SSD 256Gb, UHD 630, WiFi, BT, 90W, NoOS)</t>
        </is>
      </c>
      <c r="E1500" s="2">
        <v>15</v>
      </c>
      <c r="F1500" s="2">
        <v>15</v>
      </c>
      <c r="H1500" s="2">
        <v>394</v>
      </c>
      <c r="I1500" s="2" t="inlineStr">
        <is>
          <t>$</t>
        </is>
      </c>
      <c r="J1500" s="2">
        <f>HYPERLINK("https://app.astro.lead-studio.pro/product/22a1d20f-ee64-4fa6-bf13-18e543c1074a")</f>
      </c>
    </row>
    <row r="1501" spans="1:10" customHeight="0">
      <c r="A1501" s="2" t="inlineStr">
        <is>
          <t>Настольные компьютеры</t>
        </is>
      </c>
      <c r="B1501" s="2" t="inlineStr">
        <is>
          <t>Raskat</t>
        </is>
      </c>
      <c r="C1501" s="2" t="inlineStr">
        <is>
          <t>Standart500108479</t>
        </is>
      </c>
      <c r="D1501" s="2" t="inlineStr">
        <is>
          <t>Компьютер Raskat Компьютер Raskat Standart 500 (Intel Core i5 10400, RAM 16Gb, SSD 480Gb, no OS), 108479</t>
        </is>
      </c>
      <c r="E1501" s="2">
        <v>1</v>
      </c>
      <c r="F1501" s="2">
        <v>1</v>
      </c>
      <c r="H1501" s="2">
        <v>385</v>
      </c>
      <c r="I1501" s="2" t="inlineStr">
        <is>
          <t>$</t>
        </is>
      </c>
      <c r="J1501" s="2">
        <f>HYPERLINK("https://app.astro.lead-studio.pro/product/8dffdb00-4ad8-4b27-b446-1cdee4745fc5")</f>
      </c>
    </row>
    <row r="1502" spans="1:10" customHeight="0">
      <c r="A1502" s="2" t="inlineStr">
        <is>
          <t>Настольные компьютеры</t>
        </is>
      </c>
      <c r="B1502" s="2" t="inlineStr">
        <is>
          <t>Raskat</t>
        </is>
      </c>
      <c r="C1502" s="2" t="inlineStr">
        <is>
          <t>STANDART500165614||bp</t>
        </is>
      </c>
      <c r="D1502" s="2" t="inlineStr">
        <is>
          <t>Компьютер Raskat STANDART 500 (Intel Core i5-14400, RAM 32GB, SSD 1024GB, noOS)</t>
        </is>
      </c>
      <c r="E1502" s="2">
        <v>1</v>
      </c>
      <c r="F1502" s="2">
        <v>1</v>
      </c>
      <c r="H1502" s="2">
        <v>538</v>
      </c>
      <c r="I1502" s="2" t="inlineStr">
        <is>
          <t>$</t>
        </is>
      </c>
      <c r="J1502" s="2">
        <f>HYPERLINK("https://app.astro.lead-studio.pro/product/75bb3d72-db59-49bf-b0d4-48d0a30d1ed2")</f>
      </c>
    </row>
    <row r="1503" spans="1:10" customHeight="0">
      <c r="A1503" s="2" t="inlineStr">
        <is>
          <t>Настольные компьютеры</t>
        </is>
      </c>
      <c r="B1503" s="2" t="inlineStr">
        <is>
          <t>Raskat</t>
        </is>
      </c>
      <c r="C1503" s="2" t="inlineStr">
        <is>
          <t>STANDART500165618||bp</t>
        </is>
      </c>
      <c r="D1503" s="2" t="inlineStr">
        <is>
          <t>Компьютер Raskat Bad Pack Компьютер Raskat STANDART 500 (Intel Core i5-13400, RAM 32GB, SSD 1024GB, noOS) bp</t>
        </is>
      </c>
      <c r="E1503" s="2">
        <v>1</v>
      </c>
      <c r="F1503" s="2">
        <v>1</v>
      </c>
      <c r="H1503" s="2">
        <v>530</v>
      </c>
      <c r="I1503" s="2" t="inlineStr">
        <is>
          <t>$</t>
        </is>
      </c>
      <c r="J1503" s="2">
        <f>HYPERLINK("https://app.astro.lead-studio.pro/product/878ca3b6-2263-4225-93e4-1b2d4f6262c4")</f>
      </c>
    </row>
    <row r="1504" spans="1:10" customHeight="0">
      <c r="A1504" s="2" t="inlineStr">
        <is>
          <t>Настольные компьютеры</t>
        </is>
      </c>
      <c r="B1504" s="2" t="inlineStr">
        <is>
          <t>Raskat</t>
        </is>
      </c>
      <c r="C1504" s="2" t="inlineStr">
        <is>
          <t>STANDART500169852</t>
        </is>
      </c>
      <c r="D1504" s="2" t="inlineStr">
        <is>
          <t>Компьютер Raskat STANDART 500 (Intel Core i5-12400, RAM 16GB, SSD 512GB, 500W, VGA,HDMI,DPх2, USB  Type-C GEN2x2,case lock, No OS)</t>
        </is>
      </c>
      <c r="E1504" s="2">
        <v>40</v>
      </c>
      <c r="F1504" s="2">
        <v>40</v>
      </c>
      <c r="H1504" s="2">
        <v>438</v>
      </c>
      <c r="I1504" s="2" t="inlineStr">
        <is>
          <t>$</t>
        </is>
      </c>
      <c r="J1504" s="2">
        <f>HYPERLINK("https://app.astro.lead-studio.pro/product/1b330dbc-6307-4d06-a217-5bb69975df54")</f>
      </c>
    </row>
    <row r="1505" spans="1:10" customHeight="0">
      <c r="A1505" s="2" t="inlineStr">
        <is>
          <t>Настольные компьютеры</t>
        </is>
      </c>
      <c r="B1505" s="2" t="inlineStr">
        <is>
          <t>Raskat</t>
        </is>
      </c>
      <c r="C1505" s="2" t="inlineStr">
        <is>
          <t>STANDART50098700</t>
        </is>
      </c>
      <c r="D1505" s="2" t="inlineStr">
        <is>
          <t>Компьютер Raskat STANDART 500 (23,8, Core i5-11400 ,RAM 8Gb,SSD 512Gb,UHD 730)</t>
        </is>
      </c>
      <c r="E1505" s="2">
        <v>1</v>
      </c>
      <c r="F1505" s="2">
        <v>1</v>
      </c>
      <c r="H1505" s="2">
        <v>672</v>
      </c>
      <c r="I1505" s="2" t="inlineStr">
        <is>
          <t>$</t>
        </is>
      </c>
      <c r="J1505" s="2">
        <f>HYPERLINK("https://app.astro.lead-studio.pro/product/3200946e-c612-47ad-8777-04c7d0b14553")</f>
      </c>
    </row>
    <row r="1506" spans="1:10" customHeight="0">
      <c r="A1506" s="2" t="inlineStr">
        <is>
          <t>Настольные компьютеры</t>
        </is>
      </c>
      <c r="B1506" s="2" t="inlineStr">
        <is>
          <t>Raskat</t>
        </is>
      </c>
      <c r="C1506" s="2" t="inlineStr">
        <is>
          <t>STANDART507143381</t>
        </is>
      </c>
      <c r="D1506" s="2" t="inlineStr">
        <is>
          <t>Компьютер Raskat STANDART 507 (Intel Core i5-10400, Intel H510, RAM 8GB, SSD 240GB, netop, noOS)</t>
        </is>
      </c>
      <c r="E1506" s="2">
        <v>5</v>
      </c>
      <c r="F1506" s="2">
        <v>5</v>
      </c>
      <c r="H1506" s="2">
        <v>426</v>
      </c>
      <c r="I1506" s="2" t="inlineStr">
        <is>
          <t>$</t>
        </is>
      </c>
      <c r="J1506" s="2">
        <f>HYPERLINK("https://app.astro.lead-studio.pro/product/74ff881f-39d9-4efc-a3a4-5c139906a9d2")</f>
      </c>
    </row>
    <row r="1507" spans="1:10" customHeight="0">
      <c r="A1507" s="2" t="inlineStr">
        <is>
          <t>Настольные компьютеры</t>
        </is>
      </c>
      <c r="B1507" s="2" t="inlineStr">
        <is>
          <t>Raskat</t>
        </is>
      </c>
      <c r="C1507" s="2" t="inlineStr">
        <is>
          <t>Standart700108493||bp</t>
        </is>
      </c>
      <c r="D1507" s="2" t="inlineStr">
        <is>
          <t>Компьютер Raskat Bad Pack Компьютер Raskat Standart 700 (Intel Core i7 12700, RAM 16Gb, SSD NVMe 480Gb, no OS), 108493 bp</t>
        </is>
      </c>
      <c r="E1507" s="2">
        <v>1</v>
      </c>
      <c r="F1507" s="2">
        <v>1</v>
      </c>
      <c r="H1507" s="2">
        <v>534</v>
      </c>
      <c r="I1507" s="2" t="inlineStr">
        <is>
          <t>$</t>
        </is>
      </c>
      <c r="J1507" s="2">
        <f>HYPERLINK("https://app.astro.lead-studio.pro/product/04694298-26d7-47d5-9312-85c62b1e155c")</f>
      </c>
    </row>
    <row r="1508" spans="1:10" customHeight="0">
      <c r="A1508" s="2" t="inlineStr">
        <is>
          <t>Настольные компьютеры</t>
        </is>
      </c>
      <c r="B1508" s="2" t="inlineStr">
        <is>
          <t>Raskat</t>
        </is>
      </c>
      <c r="C1508" s="2" t="inlineStr">
        <is>
          <t>Standart700108498||bp</t>
        </is>
      </c>
      <c r="D1508" s="2" t="inlineStr">
        <is>
          <t>Компьютер Raskat Bad Pack Компьютер Raskat Standart 700 (Intel Core i7 12700, RAM 32Gb, SSD NVMe 960Gb, HDD 4Tb, no OS) bp</t>
        </is>
      </c>
      <c r="E1508" s="2">
        <v>1</v>
      </c>
      <c r="F1508" s="2">
        <v>1</v>
      </c>
      <c r="H1508" s="2">
        <v>696</v>
      </c>
      <c r="I1508" s="2" t="inlineStr">
        <is>
          <t>$</t>
        </is>
      </c>
      <c r="J1508" s="2">
        <f>HYPERLINK("https://app.astro.lead-studio.pro/product/d636b642-7a62-4fb5-9d31-51935be12bff")</f>
      </c>
    </row>
    <row r="1509" spans="1:10" customHeight="0">
      <c r="A1509" s="2" t="inlineStr">
        <is>
          <t>Настольные компьютеры</t>
        </is>
      </c>
      <c r="B1509" s="2" t="inlineStr">
        <is>
          <t>Raskat</t>
        </is>
      </c>
      <c r="C1509" s="2" t="inlineStr">
        <is>
          <t>STRIKE320157392</t>
        </is>
      </c>
      <c r="D1509" s="2" t="inlineStr">
        <is>
          <t>Компьютер Raskat STRIKE 320 (Intel Core i3-12100F, RAM 16Gb, SSD 512Gb, NVIDIA GTX 1650 4Gb, No OS)</t>
        </is>
      </c>
      <c r="E1509" s="2">
        <v>1</v>
      </c>
      <c r="F1509" s="2">
        <v>1</v>
      </c>
      <c r="H1509" s="2">
        <v>545</v>
      </c>
      <c r="I1509" s="2" t="inlineStr">
        <is>
          <t>$</t>
        </is>
      </c>
      <c r="J1509" s="2">
        <f>HYPERLINK("https://app.astro.lead-studio.pro/product/1f9dca6b-f0a8-4791-b96f-777903579af5")</f>
      </c>
    </row>
    <row r="1510" spans="1:10" customHeight="0">
      <c r="A1510" s="2" t="inlineStr">
        <is>
          <t>Настольные компьютеры</t>
        </is>
      </c>
      <c r="B1510" s="2" t="inlineStr">
        <is>
          <t>Raskat</t>
        </is>
      </c>
      <c r="C1510" s="2" t="inlineStr">
        <is>
          <t>Strike52093137</t>
        </is>
      </c>
      <c r="D1510" s="2" t="inlineStr">
        <is>
          <t>Компьютер Raskat Игровой компьютер Raskat Strike 520 (Intel Core i5-10400F, RAM 16Gb, NVMe SSD 1Tb, Nvidia RTX 3050 8Gb, noOS), 93137 (557426)</t>
        </is>
      </c>
      <c r="E1510" s="2">
        <v>1</v>
      </c>
      <c r="F1510" s="2">
        <v>1</v>
      </c>
      <c r="H1510" s="2">
        <v>755</v>
      </c>
      <c r="I1510" s="2" t="inlineStr">
        <is>
          <t>$</t>
        </is>
      </c>
      <c r="J1510" s="2">
        <f>HYPERLINK("https://app.astro.lead-studio.pro/product/fb20c588-dccd-48cc-84fa-e9716d63fbfd")</f>
      </c>
    </row>
    <row r="1511" spans="1:10" customHeight="0">
      <c r="A1511" s="2" t="inlineStr">
        <is>
          <t>Настольные компьютеры</t>
        </is>
      </c>
      <c r="B1511" s="2" t="inlineStr">
        <is>
          <t>Raskat</t>
        </is>
      </c>
      <c r="C1511" s="2" t="inlineStr">
        <is>
          <t>STRIKE720151106</t>
        </is>
      </c>
      <c r="D1511" s="2" t="inlineStr">
        <is>
          <t>Компьютер Raskat STRIKE 720 (Intel Core i7-14700F, Intel Z790, RAM 64GB, SSD 1TB, HDD 1TB, RTX 3060 12GB, 850W, Win 11Pro, Office H&amp;B 2021)</t>
        </is>
      </c>
      <c r="E1511" s="2">
        <v>5</v>
      </c>
      <c r="F1511" s="2">
        <v>5</v>
      </c>
      <c r="H1511" s="2">
        <v>2073</v>
      </c>
      <c r="I1511" s="2" t="inlineStr">
        <is>
          <t>$</t>
        </is>
      </c>
      <c r="J1511" s="2">
        <f>HYPERLINK("https://app.astro.lead-studio.pro/product/525f8ee5-cae8-4239-8568-3f7909cd2dd2")</f>
      </c>
    </row>
    <row r="1512" spans="1:10" customHeight="0">
      <c r="A1512" s="2" t="inlineStr">
        <is>
          <t>Настольные компьютеры</t>
        </is>
      </c>
      <c r="B1512" s="2" t="inlineStr">
        <is>
          <t>Raskat</t>
        </is>
      </c>
      <c r="C1512" s="2" t="inlineStr">
        <is>
          <t>STUDIO25150182003</t>
        </is>
      </c>
      <c r="D1512" s="2" t="inlineStr">
        <is>
          <t>Моноблок Raskat STUDIO 25150 (23.8" IPS, i5-12400, RAM 16Gb, SSD 500Gb, UHD 730, 150W, NoOS)</t>
        </is>
      </c>
      <c r="E1512" s="2">
        <v>3</v>
      </c>
      <c r="F1512" s="2">
        <v>3</v>
      </c>
      <c r="H1512" s="2">
        <v>536</v>
      </c>
      <c r="I1512" s="2" t="inlineStr">
        <is>
          <t>$</t>
        </is>
      </c>
      <c r="J1512" s="2">
        <f>HYPERLINK("https://app.astro.lead-studio.pro/product/ccdd18a7-46b2-4935-aab2-639f957f9447")</f>
      </c>
    </row>
    <row r="1513" spans="1:10" customHeight="0">
      <c r="A1513" s="2" t="inlineStr">
        <is>
          <t>Настольные компьютеры</t>
        </is>
      </c>
      <c r="B1513" s="2" t="inlineStr">
        <is>
          <t>Гравитон</t>
        </is>
      </c>
      <c r="C1513" s="2" t="inlineStr">
        <is>
          <t>Д13И_163170</t>
        </is>
      </c>
      <c r="D1513" s="2" t="inlineStr">
        <is>
          <t>Персональный компьютер Гравитон Д13И  MFF i3-14100/8GB/SSD256GB/Wi-fi+BT/FP_1xUSB3.0_1xUSB2.0_1xType-C/120W/K+M/NoOS/3YST</t>
        </is>
      </c>
      <c r="E1513" s="2">
        <v>4</v>
      </c>
      <c r="F1513" s="2">
        <v>4</v>
      </c>
      <c r="H1513" s="2">
        <v>891</v>
      </c>
      <c r="I1513" s="2" t="inlineStr">
        <is>
          <t>$</t>
        </is>
      </c>
      <c r="J1513" s="2">
        <f>HYPERLINK("https://app.astro.lead-studio.pro/product/655d1941-c84b-4f03-bbee-0412c22ff9b5")</f>
      </c>
    </row>
    <row r="1514" spans="1:10" customHeight="0">
      <c r="A1514" s="2" t="inlineStr">
        <is>
          <t>Настольные компьютеры</t>
        </is>
      </c>
      <c r="B1514" s="2" t="inlineStr">
        <is>
          <t>Гравитон</t>
        </is>
      </c>
      <c r="C1514" s="2" t="inlineStr">
        <is>
          <t>Д13И_163171</t>
        </is>
      </c>
      <c r="D1514" s="2" t="inlineStr">
        <is>
          <t>Персональный компьютер Гравитон Д13И  MFF i5-14400/16GB/SSD512GB/Wi-fi+BT/FP_1xUSB3.0_1xUSB2.0_1xType-C/120W/K+M/NoOS/3YST</t>
        </is>
      </c>
      <c r="E1514" s="2">
        <v>2</v>
      </c>
      <c r="F1514" s="2">
        <v>2</v>
      </c>
      <c r="H1514" s="2">
        <v>1151</v>
      </c>
    </row>
    <row r="1515" spans="1:10" customHeight="0">
      <c r="A1515" s="2" t="inlineStr">
        <is>
          <t>Настольные компьютеры</t>
        </is>
      </c>
      <c r="B1515" s="2" t="inlineStr">
        <is>
          <t>Гравитон</t>
        </is>
      </c>
      <c r="C1515" s="2" t="inlineStr">
        <is>
          <t>Д13И_167540</t>
        </is>
      </c>
      <c r="D1515" s="2" t="inlineStr">
        <is>
          <t>Персональный компьютер Гравитон ПК ГРАВИТОН Д13И MFF i3-13100/1*8GB/SSD256GB/FP_1xUSB3.0_1xUSB2.0_1xType-C/120W/K+M/NoOS/3YST i3-13100/1*8GB/SSD256GB/FP_1xUSB3.0_1xUSB2.0_1xType-C/120W/K+M/NoOS/3YST</t>
        </is>
      </c>
      <c r="E1515" s="2">
        <v>8</v>
      </c>
      <c r="F1515" s="2">
        <v>8</v>
      </c>
      <c r="H1515" s="2">
        <v>823</v>
      </c>
      <c r="I1515" s="2" t="inlineStr">
        <is>
          <t>$</t>
        </is>
      </c>
      <c r="J1515" s="2">
        <f>HYPERLINK("https://app.astro.lead-studio.pro/product/61bf94d7-1b46-4d9e-8aa1-65366e7d9195")</f>
      </c>
    </row>
    <row r="1516" spans="1:10" customHeight="0">
      <c r="A1516" s="2" t="inlineStr">
        <is>
          <t>Настольные компьютеры</t>
        </is>
      </c>
      <c r="B1516" s="2" t="inlineStr">
        <is>
          <t>Гравитон</t>
        </is>
      </c>
      <c r="C1516" s="2" t="inlineStr">
        <is>
          <t>Д15И_176610</t>
        </is>
      </c>
      <c r="D1516" s="2" t="inlineStr">
        <is>
          <t>Персональный компьютер Гравитон Д15И MFF i3-12100/1*16GB/SSD512GB/Wi-fi+BT/FP_1xUSB3.0_1xUSB2.0_1xType-C/120W/K+M/NoOS/3YST</t>
        </is>
      </c>
      <c r="E1516" s="2">
        <v>2</v>
      </c>
      <c r="F1516" s="2">
        <v>2</v>
      </c>
      <c r="H1516" s="2">
        <v>1023</v>
      </c>
    </row>
    <row r="1517" spans="1:10" customHeight="0">
      <c r="A1517" s="2" t="inlineStr">
        <is>
          <t>Настольные компьютеры</t>
        </is>
      </c>
      <c r="B1517" s="2" t="inlineStr">
        <is>
          <t>Гравитон</t>
        </is>
      </c>
      <c r="C1517" s="2" t="inlineStr">
        <is>
          <t>Д30А_166423</t>
        </is>
      </c>
      <c r="D1517" s="2" t="inlineStr">
        <is>
          <t>Персональный компьютер Гравитон Д30А SFF RYZEN 5 5600G/2*8GB/SSD1TB/FP_2xUSB2.0/250W/K+M/NoOS/3YST</t>
        </is>
      </c>
      <c r="E1517" s="2">
        <v>10</v>
      </c>
      <c r="F1517" s="2">
        <v>10</v>
      </c>
      <c r="H1517" s="2">
        <v>983</v>
      </c>
      <c r="I1517" s="2" t="inlineStr">
        <is>
          <t>$</t>
        </is>
      </c>
      <c r="J1517" s="2">
        <f>HYPERLINK("https://app.astro.lead-studio.pro/product/c5ac0f80-1abc-4a12-a83a-0a2462c0f8ef")</f>
      </c>
    </row>
    <row r="1518" spans="1:10" customHeight="0">
      <c r="A1518" s="2" t="inlineStr">
        <is>
          <t>Настольные компьютеры</t>
        </is>
      </c>
      <c r="B1518" s="2" t="inlineStr">
        <is>
          <t>Гравитон</t>
        </is>
      </c>
      <c r="C1518" s="2" t="inlineStr">
        <is>
          <t>Д32И_167535</t>
        </is>
      </c>
      <c r="D1518" s="2" t="inlineStr">
        <is>
          <t>Персональный компьютер Гравитон Д32И SFF i5-12400/116GB/SSD256GB/FP_2xUSB2.0/250W/K+M/NoOS/3YST</t>
        </is>
      </c>
      <c r="E1518" s="2">
        <v>1</v>
      </c>
      <c r="F1518" s="2">
        <v>1</v>
      </c>
      <c r="H1518" s="2">
        <v>896</v>
      </c>
      <c r="I1518" s="2" t="inlineStr">
        <is>
          <t>$</t>
        </is>
      </c>
      <c r="J1518" s="2">
        <f>HYPERLINK("https://app.astro.lead-studio.pro/product/a1fb190f-f9d2-4851-8d35-5ec8538ea80f")</f>
      </c>
    </row>
    <row r="1519" spans="1:10" customHeight="0">
      <c r="A1519" s="2" t="inlineStr">
        <is>
          <t>Настольные компьютеры</t>
        </is>
      </c>
      <c r="B1519" s="2" t="inlineStr">
        <is>
          <t>Гравитон</t>
        </is>
      </c>
      <c r="C1519" s="2" t="inlineStr">
        <is>
          <t>Д32И_176611</t>
        </is>
      </c>
      <c r="D1519" s="2" t="inlineStr">
        <is>
          <t>Персональный компьютер Гравитон Д32И SFF i5-12400/1*16GB/SSD512GB/FP_2xUSB2.0/250W/K+M/NoOS/3YST</t>
        </is>
      </c>
      <c r="E1519" s="2">
        <v>14</v>
      </c>
      <c r="F1519" s="2">
        <v>14</v>
      </c>
      <c r="H1519" s="2">
        <v>924</v>
      </c>
      <c r="I1519" s="2" t="inlineStr">
        <is>
          <t>$</t>
        </is>
      </c>
      <c r="J1519" s="2">
        <f>HYPERLINK("https://app.astro.lead-studio.pro/product/665f185e-dfa1-4702-a778-4935247860c4")</f>
      </c>
    </row>
    <row r="1520" spans="1:10" customHeight="0">
      <c r="A1520" s="2" t="inlineStr">
        <is>
          <t>Настольные компьютеры</t>
        </is>
      </c>
      <c r="B1520" s="2" t="inlineStr">
        <is>
          <t>Гравитон</t>
        </is>
      </c>
      <c r="C1520" s="2" t="inlineStr">
        <is>
          <t>Д50А_153710</t>
        </is>
      </c>
      <c r="D1520" s="2" t="inlineStr">
        <is>
          <t>Персональный компьютер Гравитон Д50А RYZEN 5 5600G/8GB/SSD256GB/FP_2xUSB2.0/450W/K+M/NO OS/WR3 </t>
        </is>
      </c>
      <c r="E1520" s="2">
        <v>3</v>
      </c>
      <c r="F1520" s="2">
        <v>3</v>
      </c>
      <c r="H1520" s="2">
        <v>836</v>
      </c>
      <c r="I1520" s="2" t="inlineStr">
        <is>
          <t>$</t>
        </is>
      </c>
      <c r="J1520" s="2">
        <f>HYPERLINK("https://app.astro.lead-studio.pro/product/b04b6b4b-cf0f-432d-9204-34ca888ce61e")</f>
      </c>
    </row>
    <row r="1521" spans="1:10" customHeight="0">
      <c r="A1521" s="2" t="inlineStr">
        <is>
          <t>Настольные компьютеры</t>
        </is>
      </c>
      <c r="B1521" s="2" t="inlineStr">
        <is>
          <t>Гравитон</t>
        </is>
      </c>
      <c r="C1521" s="2" t="inlineStr">
        <is>
          <t>Д50А_166416</t>
        </is>
      </c>
      <c r="D1521" s="2" t="inlineStr">
        <is>
          <t>Персональный компьютер Гравитон Д50А MT RYZEN 5 5600G/2*8GB/SSD1TB/FP_2xUSB2.0/450W/K+M/NoOS/3YST</t>
        </is>
      </c>
      <c r="E1521" s="2">
        <v>6</v>
      </c>
      <c r="F1521" s="2">
        <v>6</v>
      </c>
      <c r="H1521" s="2">
        <v>977</v>
      </c>
      <c r="I1521" s="2" t="inlineStr">
        <is>
          <t>$</t>
        </is>
      </c>
      <c r="J1521" s="2">
        <f>HYPERLINK("https://app.astro.lead-studio.pro/product/0a6a8c63-ee7f-4231-a92b-6a83d28722f2")</f>
      </c>
    </row>
    <row r="1522" spans="1:10" customHeight="0">
      <c r="A1522" s="2" t="inlineStr">
        <is>
          <t>Настольные компьютеры</t>
        </is>
      </c>
      <c r="B1522" s="2" t="inlineStr">
        <is>
          <t>Гравитон</t>
        </is>
      </c>
      <c r="C1522" s="2" t="inlineStr">
        <is>
          <t>Д52И_152018</t>
        </is>
      </c>
      <c r="D1522" s="2" t="inlineStr">
        <is>
          <t>Персональный компьютер Гравитон Д52И i5-13400/16GB/SSD512GB/FP_2xUSB2.0/450W/K+M/NO OS/WR3G</t>
        </is>
      </c>
      <c r="E1522" s="2">
        <v>2</v>
      </c>
      <c r="F1522" s="2">
        <v>2</v>
      </c>
      <c r="H1522" s="2">
        <v>1077</v>
      </c>
      <c r="I1522" s="2" t="inlineStr">
        <is>
          <t>$</t>
        </is>
      </c>
      <c r="J1522" s="2">
        <f>HYPERLINK("https://app.astro.lead-studio.pro/product/d21b2c77-1cdb-46c3-9ff4-7c1229f023e0")</f>
      </c>
    </row>
    <row r="1523" spans="1:10" customHeight="0">
      <c r="A1523" s="2" t="inlineStr">
        <is>
          <t>Настольные компьютеры</t>
        </is>
      </c>
      <c r="B1523" s="2" t="inlineStr">
        <is>
          <t>Гравитон</t>
        </is>
      </c>
      <c r="C1523" s="2" t="inlineStr">
        <is>
          <t>Д52И_167530</t>
        </is>
      </c>
      <c r="D1523" s="2" t="inlineStr">
        <is>
          <t>Персональный компьютер Гравитон ПК ГРАВИТОН Д52И MT i5-13400/1*16GB/SSD512GB/FP_2xUSB2.0/450W/K+M/NoOS/3YST i5-13400/1*16GB/SSD512GB/FP_2xUSB2.0/450W/K+M/NoOS/3YST</t>
        </is>
      </c>
      <c r="E1523" s="2">
        <v>6</v>
      </c>
      <c r="F1523" s="2">
        <v>6</v>
      </c>
      <c r="H1523" s="2">
        <v>1091</v>
      </c>
      <c r="I1523" s="2" t="inlineStr">
        <is>
          <t>$</t>
        </is>
      </c>
      <c r="J1523" s="2">
        <f>HYPERLINK("https://app.astro.lead-studio.pro/product/21c523ac-8344-4657-9c63-4cc24795b428")</f>
      </c>
    </row>
    <row r="1524" spans="1:10" customHeight="0">
      <c r="A1524" s="2" t="inlineStr">
        <is>
          <t>Рабочие станции</t>
        </is>
      </c>
      <c r="B1524" s="2" t="inlineStr">
        <is>
          <t>Гравитон</t>
        </is>
      </c>
      <c r="C1524" s="2" t="inlineStr">
        <is>
          <t>Р80И_169524</t>
        </is>
      </c>
      <c r="D1524" s="2" t="inlineStr">
        <is>
          <t>Рабочая станция Гравитон Р80И i7-12700/16GB/2xSSD2TB/2.5GBase-T/DVD/2x650W/Rails/K+M/NoOS/3YST</t>
        </is>
      </c>
      <c r="E1524" s="2">
        <v>1</v>
      </c>
      <c r="F1524" s="2">
        <v>1</v>
      </c>
      <c r="H1524" s="2">
        <v>3324</v>
      </c>
      <c r="I1524" s="2" t="inlineStr">
        <is>
          <t>$</t>
        </is>
      </c>
    </row>
    <row r="1525" spans="1:10" customHeight="0">
      <c r="A1525" s="2" t="inlineStr">
        <is>
          <t>Ноутбуки</t>
        </is>
      </c>
      <c r="B1525" s="2" t="inlineStr">
        <is>
          <t>HONOR</t>
        </is>
      </c>
      <c r="C1525" s="2" t="inlineStr">
        <is>
          <t>5301AFRK</t>
        </is>
      </c>
      <c r="D1525" s="2" t="inlineStr">
        <is>
          <t>Ноутбук HONOR MagicBook 14 GLO-G561 Intel Core i5-13500H/16Gb/SSD1Tb/14.2"/IPS/QHD+/120Hz/Win11/Grey (5301AFRK)</t>
        </is>
      </c>
      <c r="E1525" s="2">
        <v>2</v>
      </c>
      <c r="F1525" s="2">
        <v>2</v>
      </c>
      <c r="H1525" s="2">
        <v>1171</v>
      </c>
      <c r="I1525" s="2" t="inlineStr">
        <is>
          <t>$</t>
        </is>
      </c>
      <c r="J1525" s="2">
        <f>HYPERLINK("https://app.astro.lead-studio.pro/product/e7a5dc22-f8aa-4528-b633-2c0f6ff7cdc8")</f>
      </c>
    </row>
    <row r="1526" spans="1:10" customHeight="0">
      <c r="A1526" s="2" t="inlineStr">
        <is>
          <t>Ноутбуки</t>
        </is>
      </c>
      <c r="B1526" s="2" t="inlineStr">
        <is>
          <t>HONOR</t>
        </is>
      </c>
      <c r="C1526" s="2" t="inlineStr">
        <is>
          <t>5301AHGW</t>
        </is>
      </c>
      <c r="D1526" s="2" t="inlineStr">
        <is>
          <t>Ноутбук HONOR MagicBook X 16 2024 BRN-F5651C Intel Core i5-12450H/16Gb/SSD512Gb/16"/IPS/60Hz/Win11/Grey (5301AHGW)</t>
        </is>
      </c>
      <c r="E1526" s="2">
        <v>10</v>
      </c>
      <c r="F1526" s="2">
        <v>10</v>
      </c>
      <c r="H1526" s="2">
        <v>743</v>
      </c>
      <c r="I1526" s="2" t="inlineStr">
        <is>
          <t>$</t>
        </is>
      </c>
      <c r="J1526" s="2">
        <f>HYPERLINK("https://app.astro.lead-studio.pro/product/3f1d5a49-fcfc-4a15-85ae-dcc5405bbed3")</f>
      </c>
    </row>
    <row r="1527" spans="1:10" customHeight="0">
      <c r="A1527" s="2" t="inlineStr">
        <is>
          <t>Ноутбуки</t>
        </is>
      </c>
      <c r="B1527" s="2" t="inlineStr">
        <is>
          <t>HONOR</t>
        </is>
      </c>
      <c r="C1527" s="2" t="inlineStr">
        <is>
          <t>5301AHGY</t>
        </is>
      </c>
      <c r="D1527" s="2" t="inlineStr">
        <is>
          <t>Ноутбук HONOR MagicBook X 16 2024 BRN-F5851C Intel Core i5-12450H/8Gb/SSD512Gb/16"/IPS/60Hz/Win11/Grey (5301AHGY)</t>
        </is>
      </c>
      <c r="E1527" s="2">
        <v>2</v>
      </c>
      <c r="F1527" s="2">
        <v>2</v>
      </c>
      <c r="H1527" s="2">
        <v>661</v>
      </c>
      <c r="I1527" s="2" t="inlineStr">
        <is>
          <t>$</t>
        </is>
      </c>
      <c r="J1527" s="2">
        <f>HYPERLINK("https://app.astro.lead-studio.pro/product/f554ed02-cb12-4e03-a579-e2a678064d10")</f>
      </c>
    </row>
    <row r="1528" spans="1:10" customHeight="0">
      <c r="A1528" s="2" t="inlineStr">
        <is>
          <t>Ноутбуки</t>
        </is>
      </c>
      <c r="B1528" s="2" t="inlineStr">
        <is>
          <t>HONOR</t>
        </is>
      </c>
      <c r="C1528" s="2" t="inlineStr">
        <is>
          <t>5301AHHM</t>
        </is>
      </c>
      <c r="D1528" s="2" t="inlineStr">
        <is>
          <t>Ноутбук HONOR MagicBook X16 2024 Intel Core i5-12450H/16Gb/SSD512Gb/16"/WUXGA/IPS/NoOS/grey (5301AHHM)</t>
        </is>
      </c>
      <c r="E1528" s="2">
        <v>1</v>
      </c>
      <c r="F1528" s="2">
        <v>1</v>
      </c>
      <c r="H1528" s="2">
        <v>690</v>
      </c>
      <c r="I1528" s="2" t="inlineStr">
        <is>
          <t>$</t>
        </is>
      </c>
      <c r="J1528" s="2">
        <f>HYPERLINK("https://app.astro.lead-studio.pro/product/5a9f1a6c-2b12-4c94-8001-f4529ae1a2c2")</f>
      </c>
    </row>
    <row r="1529" spans="1:10" customHeight="0">
      <c r="A1529" s="2" t="inlineStr">
        <is>
          <t>Ноутбуки</t>
        </is>
      </c>
      <c r="B1529" s="2" t="inlineStr">
        <is>
          <t>HONOR</t>
        </is>
      </c>
      <c r="C1529" s="2" t="inlineStr">
        <is>
          <t>5301AHHP</t>
        </is>
      </c>
      <c r="D1529" s="2" t="inlineStr">
        <is>
          <t>Ноутбук HONOR MagicBook X 16 2024 BRN-F5851C Intel Core i5-12450H/8Gb/SSD512Gb/16"/IPS/60Hz/NoOS/Grey (5301AHHP)</t>
        </is>
      </c>
      <c r="E1529" s="2">
        <v>2</v>
      </c>
      <c r="F1529" s="2">
        <v>2</v>
      </c>
      <c r="H1529" s="2">
        <v>577</v>
      </c>
      <c r="I1529" s="2" t="inlineStr">
        <is>
          <t>$</t>
        </is>
      </c>
      <c r="J1529" s="2">
        <f>HYPERLINK("https://app.astro.lead-studio.pro/product/9db07e3c-966b-470c-9063-deb099fcbb03")</f>
      </c>
    </row>
    <row r="1530" spans="1:10" customHeight="0">
      <c r="A1530" s="2" t="inlineStr">
        <is>
          <t>Ноутбуки</t>
        </is>
      </c>
      <c r="B1530" s="2" t="inlineStr">
        <is>
          <t>HONOR</t>
        </is>
      </c>
      <c r="C1530" s="2" t="inlineStr">
        <is>
          <t>5301ALWS</t>
        </is>
      </c>
      <c r="D1530" s="2" t="inlineStr">
        <is>
          <t>Ноутбук HONOR MagicBook X 16 Intel Core i5/16Gb/SSD512Gb/16"/IPS/60Hz/Win11/Grey (5301ALWS)</t>
        </is>
      </c>
      <c r="E1530" s="2">
        <v>95</v>
      </c>
      <c r="F1530" s="2">
        <v>95</v>
      </c>
      <c r="H1530" s="2">
        <v>790</v>
      </c>
      <c r="I1530" s="2" t="inlineStr">
        <is>
          <t>$</t>
        </is>
      </c>
      <c r="J1530" s="2">
        <f>HYPERLINK("https://app.astro.lead-studio.pro/product/e22ca46d-72f9-4a99-aef5-1a90f24a9627")</f>
      </c>
    </row>
    <row r="1531" spans="1:10" customHeight="0">
      <c r="A1531" s="2" t="inlineStr">
        <is>
          <t>Ноутбуки</t>
        </is>
      </c>
      <c r="B1531" s="2" t="inlineStr">
        <is>
          <t>HONOR</t>
        </is>
      </c>
      <c r="C1531" s="2" t="inlineStr">
        <is>
          <t>5301ALWU</t>
        </is>
      </c>
      <c r="D1531" s="2" t="inlineStr">
        <is>
          <t>Ноутбук HONOR MagicBook X 14 Intel Core i5/16Gb/SSD512Gb/14"/IPS/60Hz/Win11/Grey (5301ALWU)</t>
        </is>
      </c>
      <c r="E1531" s="2">
        <v>93</v>
      </c>
      <c r="F1531" s="2">
        <v>93</v>
      </c>
      <c r="H1531" s="2">
        <v>730</v>
      </c>
      <c r="I1531" s="2" t="inlineStr">
        <is>
          <t>$</t>
        </is>
      </c>
      <c r="J1531" s="2">
        <f>HYPERLINK("https://app.astro.lead-studio.pro/product/43c0b592-6c4a-40d8-b29c-3475f047226c")</f>
      </c>
    </row>
    <row r="1532" spans="1:10" customHeight="0">
      <c r="A1532" s="2" t="inlineStr">
        <is>
          <t>Ноутбуки</t>
        </is>
      </c>
      <c r="B1532" s="2" t="inlineStr">
        <is>
          <t>HONOR</t>
        </is>
      </c>
      <c r="C1532" s="2" t="inlineStr">
        <is>
          <t>5301ALWW</t>
        </is>
      </c>
      <c r="D1532" s="2" t="inlineStr">
        <is>
          <t>Ноутбук HONOR MagicBook X 14 Intel Core i5/16Gb/SSD512Gb/14"/IPS/60Hz/NoOS/Grey (5301ALWW)</t>
        </is>
      </c>
      <c r="E1532" s="2">
        <v>86</v>
      </c>
      <c r="F1532" s="2">
        <v>86</v>
      </c>
      <c r="H1532" s="2">
        <v>639</v>
      </c>
      <c r="I1532" s="2" t="inlineStr">
        <is>
          <t>$</t>
        </is>
      </c>
      <c r="J1532" s="2">
        <f>HYPERLINK("https://app.astro.lead-studio.pro/product/30e26c13-d6c2-4436-a762-7515f136c8c6")</f>
      </c>
    </row>
    <row r="1533" spans="1:10" customHeight="0">
      <c r="A1533" s="2" t="inlineStr">
        <is>
          <t>Ноутбуки</t>
        </is>
      </c>
      <c r="B1533" s="2" t="inlineStr">
        <is>
          <t>HONOR</t>
        </is>
      </c>
      <c r="C1533" s="2" t="inlineStr">
        <is>
          <t>5301ALWY</t>
        </is>
      </c>
      <c r="D1533" s="2" t="inlineStr">
        <is>
          <t>Ноутбук HONOR MagicBook X 14 Intel Core i5-12450H/8Gb/SSD512Gb/14"/IPS/60Hz/NoOS/Grey (5301ALWY)</t>
        </is>
      </c>
      <c r="E1533" s="2">
        <v>93</v>
      </c>
      <c r="F1533" s="2">
        <v>93</v>
      </c>
      <c r="H1533" s="2">
        <v>563</v>
      </c>
      <c r="I1533" s="2" t="inlineStr">
        <is>
          <t>$</t>
        </is>
      </c>
      <c r="J1533" s="2">
        <f>HYPERLINK("https://app.astro.lead-studio.pro/product/ef7af110-5942-4ad0-b3d1-a036f34914ec")</f>
      </c>
    </row>
    <row r="1534" spans="1:10" customHeight="0">
      <c r="A1534" s="2" t="inlineStr">
        <is>
          <t>Ноутбуки</t>
        </is>
      </c>
      <c r="B1534" s="2" t="inlineStr">
        <is>
          <t>HONOR</t>
        </is>
      </c>
      <c r="C1534" s="2" t="inlineStr">
        <is>
          <t>5301ALXB</t>
        </is>
      </c>
      <c r="D1534" s="2" t="inlineStr">
        <is>
          <t>Ноутбук HONOR MagicBook X 14 Intel Core i3 1315U/8Gb/SSD512Gb/14"/IPS/60Hz/NoOS/Grey (5301ALXB)</t>
        </is>
      </c>
      <c r="E1534" s="2">
        <v>87</v>
      </c>
      <c r="F1534" s="2">
        <v>87</v>
      </c>
      <c r="H1534" s="2">
        <v>458</v>
      </c>
      <c r="I1534" s="2" t="inlineStr">
        <is>
          <t>$</t>
        </is>
      </c>
      <c r="J1534" s="2">
        <f>HYPERLINK("https://app.astro.lead-studio.pro/product/c45f7995-9677-4645-b96b-845a271e910a")</f>
      </c>
    </row>
    <row r="1535" spans="1:10" customHeight="0">
      <c r="A1535" s="2" t="inlineStr">
        <is>
          <t>Ноутбуки</t>
        </is>
      </c>
      <c r="B1535" s="2" t="inlineStr">
        <is>
          <t>HONOR</t>
        </is>
      </c>
      <c r="C1535" s="2" t="inlineStr">
        <is>
          <t>5301ALXN</t>
        </is>
      </c>
      <c r="D1535" s="2" t="inlineStr">
        <is>
          <t>Ноутбук HONOR MagicBook X 16 Intel Core i5/16Gb/SSD512Gb/16"/IPS/60Hz/NoOS/Grey (5301ALXN)</t>
        </is>
      </c>
      <c r="E1535" s="2">
        <v>94</v>
      </c>
      <c r="F1535" s="2">
        <v>94</v>
      </c>
      <c r="H1535" s="2">
        <v>707</v>
      </c>
      <c r="I1535" s="2" t="inlineStr">
        <is>
          <t>$</t>
        </is>
      </c>
      <c r="J1535" s="2">
        <f>HYPERLINK("https://app.astro.lead-studio.pro/product/12643910-3ca3-4844-9886-9f93138d5194")</f>
      </c>
    </row>
    <row r="1536" spans="1:10" customHeight="0">
      <c r="A1536" s="2" t="inlineStr">
        <is>
          <t>Ноутбуки</t>
        </is>
      </c>
      <c r="B1536" s="2" t="inlineStr">
        <is>
          <t>HONOR</t>
        </is>
      </c>
      <c r="C1536" s="2" t="inlineStr">
        <is>
          <t>5301ALXS</t>
        </is>
      </c>
      <c r="D1536" s="2" t="inlineStr">
        <is>
          <t>Ноутбук HONOR MagicBook X 16 Intel Core i3 1315U/8Gb/SSD512Gb/16"/IPS/60Hz/NoOS/Grey (5301ALXS)</t>
        </is>
      </c>
      <c r="E1536" s="2">
        <v>88</v>
      </c>
      <c r="F1536" s="2">
        <v>88</v>
      </c>
      <c r="H1536" s="2">
        <v>515</v>
      </c>
      <c r="I1536" s="2" t="inlineStr">
        <is>
          <t>$</t>
        </is>
      </c>
      <c r="J1536" s="2">
        <f>HYPERLINK("https://app.astro.lead-studio.pro/product/98422c8c-cd9a-42cc-a268-9af32c4aac8e")</f>
      </c>
    </row>
    <row r="1537" spans="1:10" customHeight="0">
      <c r="A1537" s="2" t="inlineStr">
        <is>
          <t>Ноутбуки</t>
        </is>
      </c>
      <c r="B1537" s="2" t="inlineStr">
        <is>
          <t>Lenovo</t>
        </is>
      </c>
      <c r="C1537" s="2" t="inlineStr">
        <is>
          <t>82S900KWRK||bp</t>
        </is>
      </c>
      <c r="D1537" s="2" t="inlineStr">
        <is>
          <t>Ноутбук Lenovo Ideapad Gaming 3 15IAH7 Core i5-12450H/8GB/SSD512GB/15.6"/RTX 3050 4GB/IPS/FHD/120hz/Free DOS/Onyx Grey (82S900KWRK)</t>
        </is>
      </c>
      <c r="E1537" s="2">
        <v>2</v>
      </c>
      <c r="F1537" s="2">
        <v>2</v>
      </c>
      <c r="H1537" s="2">
        <v>820</v>
      </c>
      <c r="I1537" s="2" t="inlineStr">
        <is>
          <t>$</t>
        </is>
      </c>
      <c r="J1537" s="2">
        <f>HYPERLINK("https://app.astro.lead-studio.pro/product/94b03e82-6920-461e-9a44-d7b8e4b82396")</f>
      </c>
    </row>
    <row r="1538" spans="1:10" customHeight="0">
      <c r="A1538" s="2" t="inlineStr">
        <is>
          <t>Ноутбуки</t>
        </is>
      </c>
      <c r="B1538" s="2" t="inlineStr">
        <is>
          <t>Lenovo</t>
        </is>
      </c>
      <c r="C1538" s="2" t="inlineStr">
        <is>
          <t>82X80003RK</t>
        </is>
      </c>
      <c r="D1538" s="2" t="inlineStr">
        <is>
          <t>Ноутбук Lenovo IdeaPad Slim 3 16IRU8 (82X80003RK) Core i3-1315U/8GB/SSD256GB/16"/IPS/WUXGA/NoOS/Arctic Grey </t>
        </is>
      </c>
      <c r="E1538" s="2">
        <v>100</v>
      </c>
      <c r="F1538" s="2">
        <v>100</v>
      </c>
      <c r="H1538" s="2">
        <v>443</v>
      </c>
      <c r="I1538" s="2" t="inlineStr">
        <is>
          <t>$</t>
        </is>
      </c>
      <c r="J1538" s="2">
        <f>HYPERLINK("https://app.astro.lead-studio.pro/product/4de9dc73-a970-45f0-b2a4-20e3254433b7")</f>
      </c>
    </row>
    <row r="1539" spans="1:10" customHeight="0">
      <c r="A1539" s="2" t="inlineStr">
        <is>
          <t>Ноутбуки</t>
        </is>
      </c>
      <c r="B1539" s="2" t="inlineStr">
        <is>
          <t>Lenovo</t>
        </is>
      </c>
      <c r="C1539" s="2" t="inlineStr">
        <is>
          <t>82X80004RK</t>
        </is>
      </c>
      <c r="D1539" s="2" t="inlineStr">
        <is>
          <t>Ноутбук Lenovo IdeaPad Slim 3 16IRU8 Core i5-1335U/8Gb/SSD256Gb/16"/IPS/WUXGA/noOS/grey (82X80004RK)</t>
        </is>
      </c>
      <c r="E1539" s="2">
        <v>20</v>
      </c>
      <c r="F1539" s="2">
        <v>20</v>
      </c>
      <c r="H1539" s="2">
        <v>486</v>
      </c>
      <c r="I1539" s="2" t="inlineStr">
        <is>
          <t>$</t>
        </is>
      </c>
      <c r="J1539" s="2">
        <f>HYPERLINK("https://app.astro.lead-studio.pro/product/b9fbb51c-b7c8-4fc6-971b-acc12c1b6426")</f>
      </c>
    </row>
    <row r="1540" spans="1:10" customHeight="0">
      <c r="A1540" s="2" t="inlineStr">
        <is>
          <t>Ноутбуки</t>
        </is>
      </c>
      <c r="B1540" s="2" t="inlineStr">
        <is>
          <t>Lenovo</t>
        </is>
      </c>
      <c r="C1540" s="2" t="inlineStr">
        <is>
          <t>82X80004RK||bp</t>
        </is>
      </c>
      <c r="D1540" s="2" t="inlineStr">
        <is>
          <t>Ноутбук Lenovo IdeaPad Slim 3 16IRU8 Core i5-1335U/8Gb/SSD256Gb/16"/IPS/WUXGA/noOS/grey (82X80004RK)</t>
        </is>
      </c>
      <c r="E1540" s="2">
        <v>1</v>
      </c>
      <c r="F1540" s="2">
        <v>1</v>
      </c>
      <c r="H1540" s="2">
        <v>494</v>
      </c>
      <c r="I1540" s="2" t="inlineStr">
        <is>
          <t>$</t>
        </is>
      </c>
      <c r="J1540" s="2">
        <f>HYPERLINK("https://app.astro.lead-studio.pro/product/e98e48c9-603f-49b1-a2bd-b5c4ef0d80b6")</f>
      </c>
    </row>
    <row r="1541" spans="1:10" customHeight="0">
      <c r="A1541" s="2" t="inlineStr">
        <is>
          <t>Ноутбуки</t>
        </is>
      </c>
      <c r="B1541" s="2" t="inlineStr">
        <is>
          <t>Lenovo</t>
        </is>
      </c>
      <c r="C1541" s="2" t="inlineStr">
        <is>
          <t>82X8003NRK||bp</t>
        </is>
      </c>
      <c r="D1541" s="2" t="inlineStr">
        <is>
          <t>Ноутбук Lenovo IdeaPad Slim 3 16IRU8 (82X8003NRK) Core i5-1335U/8GB/SSD512GB/16"/IPS/WUXGA/NoOS/Arctic Grey </t>
        </is>
      </c>
      <c r="E1541" s="2">
        <v>2</v>
      </c>
      <c r="F1541" s="2">
        <v>2</v>
      </c>
      <c r="H1541" s="2">
        <v>546</v>
      </c>
      <c r="I1541" s="2" t="inlineStr">
        <is>
          <t>$</t>
        </is>
      </c>
      <c r="J1541" s="2">
        <f>HYPERLINK("https://app.astro.lead-studio.pro/product/76befbdf-413c-41c4-9429-2fc55b909ee0")</f>
      </c>
    </row>
    <row r="1542" spans="1:10" customHeight="0">
      <c r="A1542" s="2" t="inlineStr">
        <is>
          <t>Ноутбуки</t>
        </is>
      </c>
      <c r="B1542" s="2" t="inlineStr">
        <is>
          <t>Lenovo</t>
        </is>
      </c>
      <c r="C1542" s="2" t="inlineStr">
        <is>
          <t>82X8004NRK</t>
        </is>
      </c>
      <c r="D1542" s="2" t="inlineStr">
        <is>
          <t>Ноутбук Lenovo IdeaPad Slim 3 16IRU8 Core i3-1315U/8Gb/SSD256Gb/16.0"/IPS/WUXGA/NoOS/grey (82X8004NRK)</t>
        </is>
      </c>
      <c r="E1542" s="2">
        <v>26</v>
      </c>
      <c r="F1542" s="2">
        <v>26</v>
      </c>
      <c r="H1542" s="2">
        <v>448</v>
      </c>
      <c r="I1542" s="2" t="inlineStr">
        <is>
          <t>$</t>
        </is>
      </c>
      <c r="J1542" s="2">
        <f>HYPERLINK("https://app.astro.lead-studio.pro/product/502e62e7-df17-4a06-aa92-ccfe1f2fbfb3")</f>
      </c>
    </row>
    <row r="1543" spans="1:10" customHeight="0">
      <c r="A1543" s="2" t="inlineStr">
        <is>
          <t>Ноутбуки</t>
        </is>
      </c>
      <c r="B1543" s="2" t="inlineStr">
        <is>
          <t>Lenovo</t>
        </is>
      </c>
      <c r="C1543" s="2" t="inlineStr">
        <is>
          <t>82XQ006PRK</t>
        </is>
      </c>
      <c r="D1543" s="2" t="inlineStr">
        <is>
          <t>Ноутбук Lenovo IdeaPad Slim 3 15AMN8 Ryzen 5 7520U/8Gb/SSD256Gb/15.6"/IPS/FHD/noOS/black (82XQ006PRK)</t>
        </is>
      </c>
      <c r="E1543" s="2">
        <v>16</v>
      </c>
      <c r="F1543" s="2">
        <v>16</v>
      </c>
      <c r="H1543" s="2">
        <v>477</v>
      </c>
      <c r="I1543" s="2" t="inlineStr">
        <is>
          <t>$</t>
        </is>
      </c>
      <c r="J1543" s="2">
        <f>HYPERLINK("https://app.astro.lead-studio.pro/product/814e1d53-97ca-44f8-b4bf-2d598b43690d")</f>
      </c>
    </row>
    <row r="1544" spans="1:10" customHeight="0">
      <c r="A1544" s="2" t="inlineStr">
        <is>
          <t>Ноутбуки</t>
        </is>
      </c>
      <c r="B1544" s="2" t="inlineStr">
        <is>
          <t>Lenovo</t>
        </is>
      </c>
      <c r="C1544" s="2" t="inlineStr">
        <is>
          <t>82XQ00EURK</t>
        </is>
      </c>
      <c r="D1544" s="2" t="inlineStr">
        <is>
          <t>Ноутбук Lenovo IdeaPad Slim 3 15AMN8 Ryzen 3 7320U/8Gb/SSD256Gb/15.6"/IPS/FHD/noOS/grey (82XQ00EURK)</t>
        </is>
      </c>
      <c r="E1544" s="2">
        <v>10</v>
      </c>
      <c r="F1544" s="2">
        <v>10</v>
      </c>
      <c r="H1544" s="2">
        <v>385</v>
      </c>
      <c r="I1544" s="2" t="inlineStr">
        <is>
          <t>$</t>
        </is>
      </c>
      <c r="J1544" s="2">
        <f>HYPERLINK("https://app.astro.lead-studio.pro/product/c4c7b672-83f3-457a-96f1-a043c2ed6618")</f>
      </c>
    </row>
    <row r="1545" spans="1:10" customHeight="0">
      <c r="A1545" s="2" t="inlineStr">
        <is>
          <t>Ноутбуки</t>
        </is>
      </c>
      <c r="B1545" s="2" t="inlineStr">
        <is>
          <t>Lenovo</t>
        </is>
      </c>
      <c r="C1545" s="2" t="inlineStr">
        <is>
          <t>82XR008RRK</t>
        </is>
      </c>
      <c r="D1545" s="2" t="inlineStr">
        <is>
          <t>Ноутбук Lenovo IdeaPad Slim 3 16ABR8 Ryzen 3 7330U/8Gb/SSD512Gb/16.0"/IPS/WUXGA/NoOS/grey (82XR008RRK)</t>
        </is>
      </c>
      <c r="E1545" s="2">
        <v>100</v>
      </c>
      <c r="F1545" s="2">
        <v>100</v>
      </c>
      <c r="H1545" s="2">
        <v>451</v>
      </c>
      <c r="I1545" s="2" t="inlineStr">
        <is>
          <t>$</t>
        </is>
      </c>
      <c r="J1545" s="2">
        <f>HYPERLINK("https://app.astro.lead-studio.pro/product/5acb6ee9-7b6e-4d21-bfe1-7772d07f18bf")</f>
      </c>
    </row>
    <row r="1546" spans="1:10" customHeight="0">
      <c r="A1546" s="2" t="inlineStr">
        <is>
          <t>Ноутбуки</t>
        </is>
      </c>
      <c r="B1546" s="2" t="inlineStr">
        <is>
          <t>Lenovo</t>
        </is>
      </c>
      <c r="C1546" s="2" t="inlineStr">
        <is>
          <t>82XR008SRK</t>
        </is>
      </c>
      <c r="D1546" s="2" t="inlineStr">
        <is>
          <t>Ноутбук Lenovo IdeaPad Slim 3 16ABR8 Ryzen 3 7330U/8Gb/SSD256Gb/16.0"/IPS/WUXGA/NoOS/grey (82XR008SRK)</t>
        </is>
      </c>
      <c r="E1546" s="2">
        <v>100</v>
      </c>
      <c r="F1546" s="2">
        <v>100</v>
      </c>
      <c r="H1546" s="2">
        <v>454</v>
      </c>
      <c r="I1546" s="2" t="inlineStr">
        <is>
          <t>$</t>
        </is>
      </c>
      <c r="J1546" s="2">
        <f>HYPERLINK("https://app.astro.lead-studio.pro/product/c04844e4-6783-4f5d-b83d-9976904d664a")</f>
      </c>
    </row>
    <row r="1547" spans="1:10" customHeight="0">
      <c r="A1547" s="2" t="inlineStr">
        <is>
          <t>Ноутбуки</t>
        </is>
      </c>
      <c r="B1547" s="2" t="inlineStr">
        <is>
          <t>Lenovo</t>
        </is>
      </c>
      <c r="C1547" s="2" t="inlineStr">
        <is>
          <t>82XV00QRRK||bp</t>
        </is>
      </c>
      <c r="D1547" s="2" t="inlineStr">
        <is>
          <t>Ноутбук Lenovo Bad Pack Ноутбук Lenovo LOQ 15IRH8 Intel Core i5-12450H/8Gb/SSD512Gb/RTX 4050 6Gb/15.6"/IPS/FHD/144Hz/NoOS/grey (82XV00QRRK) bp</t>
        </is>
      </c>
      <c r="E1547" s="2">
        <v>1</v>
      </c>
      <c r="F1547" s="2">
        <v>1</v>
      </c>
      <c r="H1547" s="2">
        <v>999</v>
      </c>
      <c r="I1547" s="2" t="inlineStr">
        <is>
          <t>$</t>
        </is>
      </c>
      <c r="J1547" s="2">
        <f>HYPERLINK("https://app.astro.lead-studio.pro/product/0eb8b8e1-d010-4998-904a-0363c09b3d03")</f>
      </c>
    </row>
    <row r="1548" spans="1:10" customHeight="0">
      <c r="A1548" s="2" t="inlineStr">
        <is>
          <t>Ноутбуки</t>
        </is>
      </c>
      <c r="B1548" s="2" t="inlineStr">
        <is>
          <t>Lenovo</t>
        </is>
      </c>
      <c r="C1548" s="2" t="inlineStr">
        <is>
          <t>82XV00XCRK||bp</t>
        </is>
      </c>
      <c r="D1548" s="2" t="inlineStr">
        <is>
          <t>Ноутбук Lenovo Bad Pack Ноутбук Lenovo LOQ 15IRH8 Intel Core i5-12450H/16Gb/SSD512Gb/RTX 4050 6Gb/15.6"/IPS/FHD/144Hz/NoOS/grey (82XV00XCRK) bp</t>
        </is>
      </c>
      <c r="E1548" s="2">
        <v>3</v>
      </c>
      <c r="F1548" s="2">
        <v>3</v>
      </c>
      <c r="H1548" s="2">
        <v>963</v>
      </c>
      <c r="I1548" s="2" t="inlineStr">
        <is>
          <t>$</t>
        </is>
      </c>
      <c r="J1548" s="2">
        <f>HYPERLINK("https://app.astro.lead-studio.pro/product/5ab81327-a117-4a81-8a71-e41d638c7cba")</f>
      </c>
    </row>
    <row r="1549" spans="1:10" customHeight="0">
      <c r="A1549" s="2" t="inlineStr">
        <is>
          <t>Ноутбуки</t>
        </is>
      </c>
      <c r="B1549" s="2" t="inlineStr">
        <is>
          <t>Lenovo</t>
        </is>
      </c>
      <c r="C1549" s="2" t="inlineStr">
        <is>
          <t>82Y0005NRK||bp</t>
        </is>
      </c>
      <c r="D1549" s="2" t="inlineStr">
        <is>
          <t>Ноутбук IdeaPad Bad Pack Flex 5 14IRU8 Core i5-1335U/8GB/SSD256GB/14"/Iris Xe/IPS/WUXGA/Win11/Arctic Grey (82Y0005NRK)</t>
        </is>
      </c>
      <c r="E1549" s="2">
        <v>2</v>
      </c>
      <c r="F1549" s="2">
        <v>2</v>
      </c>
      <c r="H1549" s="2">
        <v>871</v>
      </c>
      <c r="I1549" s="2" t="inlineStr">
        <is>
          <t>$</t>
        </is>
      </c>
      <c r="J1549" s="2">
        <f>HYPERLINK("https://app.astro.lead-studio.pro/product/09f880e0-6771-4f3c-9e5b-4b035d15c914")</f>
      </c>
    </row>
    <row r="1550" spans="1:10" customHeight="0">
      <c r="A1550" s="2" t="inlineStr">
        <is>
          <t>Ноутбуки</t>
        </is>
      </c>
      <c r="B1550" s="2" t="inlineStr">
        <is>
          <t>Lenovo</t>
        </is>
      </c>
      <c r="C1550" s="2" t="inlineStr">
        <is>
          <t>83D20025RK</t>
        </is>
      </c>
      <c r="D1550" s="2" t="inlineStr">
        <is>
          <t>Ноутбук Lenovo IdeaPad Pro 5 14IMH9 Core Ultra 5 125H/16Gb/SSD1Tb/14.0"/OLED/2.8K/NoOS/grey (83D20025RK)</t>
        </is>
      </c>
      <c r="E1550" s="2">
        <v>48</v>
      </c>
      <c r="F1550" s="2">
        <v>48</v>
      </c>
      <c r="H1550" s="2">
        <v>1031</v>
      </c>
      <c r="I1550" s="2" t="inlineStr">
        <is>
          <t>$</t>
        </is>
      </c>
      <c r="J1550" s="2">
        <f>HYPERLINK("https://app.astro.lead-studio.pro/product/7695fc3e-3786-41b6-8b96-38066d0a2c2f")</f>
      </c>
    </row>
    <row r="1551" spans="1:10" customHeight="0">
      <c r="A1551" s="2" t="inlineStr">
        <is>
          <t>Ноутбуки</t>
        </is>
      </c>
      <c r="B1551" s="2" t="inlineStr">
        <is>
          <t>Lenovo</t>
        </is>
      </c>
      <c r="C1551" s="2" t="inlineStr">
        <is>
          <t>83D30029RK</t>
        </is>
      </c>
      <c r="D1551" s="2" t="inlineStr">
        <is>
          <t>Ноутбук Lenovo IdeaPad Pro 5 14AHP9 Ryzen 7 8845HS/16Gb/SSD1Tb/14.0"/OLED/2.8K/NoOS/grey (83D30029RK)</t>
        </is>
      </c>
      <c r="E1551" s="2">
        <v>16</v>
      </c>
      <c r="F1551" s="2">
        <v>16</v>
      </c>
      <c r="H1551" s="2">
        <v>1268</v>
      </c>
      <c r="I1551" s="2" t="inlineStr">
        <is>
          <t>$</t>
        </is>
      </c>
      <c r="J1551" s="2">
        <f>HYPERLINK("https://app.astro.lead-studio.pro/product/b62c52e5-3255-4e25-865c-0221909ecf33")</f>
      </c>
    </row>
    <row r="1552" spans="1:10" customHeight="0">
      <c r="A1552" s="2" t="inlineStr">
        <is>
          <t>Ноутбуки</t>
        </is>
      </c>
      <c r="B1552" s="2" t="inlineStr">
        <is>
          <t>Lenovo</t>
        </is>
      </c>
      <c r="C1552" s="2" t="inlineStr">
        <is>
          <t>83D4003NRK</t>
        </is>
      </c>
      <c r="D1552" s="2" t="inlineStr">
        <is>
          <t>Ноутбук Lenovo IdeaPad Pro 5 16IMH9 Core Ultra 7 155H/216Gb/SSD1Tb/RTX3050 6Gb/16.0"/OLED/2K/NoOS/grey (83D4003NRK)</t>
        </is>
      </c>
      <c r="E1552" s="2">
        <v>8</v>
      </c>
      <c r="F1552" s="2">
        <v>8</v>
      </c>
      <c r="H1552" s="2">
        <v>1432</v>
      </c>
      <c r="I1552" s="2" t="inlineStr">
        <is>
          <t>$</t>
        </is>
      </c>
      <c r="J1552" s="2">
        <f>HYPERLINK("https://app.astro.lead-studio.pro/product/f0471055-a36f-4d1d-b7e1-06ea989a28e8")</f>
      </c>
    </row>
    <row r="1553" spans="1:10" customHeight="0">
      <c r="A1553" s="2" t="inlineStr">
        <is>
          <t>Ноутбуки</t>
        </is>
      </c>
      <c r="B1553" s="2" t="inlineStr">
        <is>
          <t>Lenovo</t>
        </is>
      </c>
      <c r="C1553" s="2" t="inlineStr">
        <is>
          <t>83DB001CRK</t>
        </is>
      </c>
      <c r="D1553" s="2" t="inlineStr">
        <is>
          <t>Ноутбук Lenovo IdeaPad Slim 5 14AHP9 Ryzen 5 8645HS/16Gb/SSD512Gb/14.0"/OLED/WUXGA/NoOS/grey (83DB001CRK)</t>
        </is>
      </c>
      <c r="E1553" s="2">
        <v>14</v>
      </c>
      <c r="F1553" s="2">
        <v>14</v>
      </c>
      <c r="H1553" s="2">
        <v>851</v>
      </c>
      <c r="I1553" s="2" t="inlineStr">
        <is>
          <t>$</t>
        </is>
      </c>
      <c r="J1553" s="2">
        <f>HYPERLINK("https://app.astro.lead-studio.pro/product/20323f24-7d80-47ab-84da-38b7950e6ea3")</f>
      </c>
    </row>
    <row r="1554" spans="1:10" customHeight="0">
      <c r="A1554" s="2" t="inlineStr">
        <is>
          <t>Ноутбуки</t>
        </is>
      </c>
      <c r="B1554" s="2" t="inlineStr">
        <is>
          <t>Lenovo</t>
        </is>
      </c>
      <c r="C1554" s="2" t="inlineStr">
        <is>
          <t>83DC004FRK</t>
        </is>
      </c>
      <c r="D1554" s="2" t="inlineStr">
        <is>
          <t>Ноутбук Lenovo IdeaPad Slim 5 16IMH9 Core Ultra 5 125H/16Gb/SSD512Gb/16.0"/OLED/2K/NoOS/grey (83DC004FRK)</t>
        </is>
      </c>
      <c r="E1554" s="2">
        <v>48</v>
      </c>
      <c r="F1554" s="2">
        <v>48</v>
      </c>
      <c r="H1554" s="2">
        <v>998</v>
      </c>
      <c r="I1554" s="2" t="inlineStr">
        <is>
          <t>$</t>
        </is>
      </c>
      <c r="J1554" s="2">
        <f>HYPERLINK("https://app.astro.lead-studio.pro/product/94ead95e-b9a9-48f5-9ca6-749d1d1d7eb1")</f>
      </c>
    </row>
    <row r="1555" spans="1:10" customHeight="0">
      <c r="A1555" s="2" t="inlineStr">
        <is>
          <t>Ноутбуки</t>
        </is>
      </c>
      <c r="B1555" s="2" t="inlineStr">
        <is>
          <t>Lenovo</t>
        </is>
      </c>
      <c r="C1555" s="2" t="inlineStr">
        <is>
          <t>83DC004FRK||bp</t>
        </is>
      </c>
      <c r="D1555" s="2" t="inlineStr">
        <is>
          <t>Ноутбук Lenovo Bad Pack Ноутбук Lenovo IdeaPad Slim 5 16IMH9 Intel Core Ultra 5 125H/16Gb/SSD512Gb/16"/OLED/2K (2048x1280)/120Hz/NoOS/grey (83DC004FRK) bp</t>
        </is>
      </c>
      <c r="E1555" s="2">
        <v>1</v>
      </c>
      <c r="F1555" s="2">
        <v>1</v>
      </c>
      <c r="H1555" s="2">
        <v>949</v>
      </c>
      <c r="I1555" s="2" t="inlineStr">
        <is>
          <t>$</t>
        </is>
      </c>
      <c r="J1555" s="2">
        <f>HYPERLINK("https://app.astro.lead-studio.pro/product/afbfe2fc-d940-4c6c-99a8-cf3cae32fa3e")</f>
      </c>
    </row>
    <row r="1556" spans="1:10" customHeight="0">
      <c r="A1556" s="2" t="inlineStr">
        <is>
          <t>Ноутбуки</t>
        </is>
      </c>
      <c r="B1556" s="2" t="inlineStr">
        <is>
          <t>Lenovo</t>
        </is>
      </c>
      <c r="C1556" s="2" t="inlineStr">
        <is>
          <t>83DT0076RK</t>
        </is>
      </c>
      <c r="D1556" s="2" t="inlineStr">
        <is>
          <t>Ноутбук Lenovo IdeaPad 5 2-in-1 14IRU9 Core 7 150U/16Gb/SSD1Tb/14.0"/OLED/WUXGA/NoOS/grey (83DT0076RK)</t>
        </is>
      </c>
      <c r="E1556" s="2">
        <v>1</v>
      </c>
      <c r="F1556" s="2">
        <v>1</v>
      </c>
      <c r="H1556" s="2">
        <v>1183</v>
      </c>
      <c r="I1556" s="2" t="inlineStr">
        <is>
          <t>$</t>
        </is>
      </c>
      <c r="J1556" s="2">
        <f>HYPERLINK("https://app.astro.lead-studio.pro/product/3d68edab-fc50-4ba3-b8b7-904f546961de")</f>
      </c>
    </row>
    <row r="1557" spans="1:10" customHeight="0">
      <c r="A1557" s="2" t="inlineStr">
        <is>
          <t>Ноутбуки</t>
        </is>
      </c>
      <c r="B1557" s="2" t="inlineStr">
        <is>
          <t>Lenovo</t>
        </is>
      </c>
      <c r="C1557" s="2" t="inlineStr">
        <is>
          <t>83DT0077RK||bp</t>
        </is>
      </c>
      <c r="D1557" s="2" t="inlineStr">
        <is>
          <t>Ноутбук Lenovo Bad Pack Ноутбук Lenovo IdeaPad 5 2-in-1 14IRU9 Intel Core 5 120U/16Gb/SSD512Gb/14"/IPS/FHD+/60Hz/NoOS/grey (83DT0077RK) bp</t>
        </is>
      </c>
      <c r="E1557" s="2">
        <v>2</v>
      </c>
      <c r="F1557" s="2">
        <v>2</v>
      </c>
      <c r="H1557" s="2">
        <v>814</v>
      </c>
      <c r="I1557" s="2" t="inlineStr">
        <is>
          <t>$</t>
        </is>
      </c>
      <c r="J1557" s="2">
        <f>HYPERLINK("https://app.astro.lead-studio.pro/product/ceb23cef-6901-4f9e-9598-11a5cb0204d5")</f>
      </c>
    </row>
    <row r="1558" spans="1:10" customHeight="0">
      <c r="A1558" s="2" t="inlineStr">
        <is>
          <t>Ноутбуки</t>
        </is>
      </c>
      <c r="B1558" s="2" t="inlineStr">
        <is>
          <t>Lenovo</t>
        </is>
      </c>
      <c r="C1558" s="2" t="inlineStr">
        <is>
          <t>83E70010RK</t>
        </is>
      </c>
      <c r="D1558" s="2" t="inlineStr">
        <is>
          <t>Ноутбук Lenovo IdeaPad Slim 3 16IRU9 Core 3 100U/8Gb/SSD512Gb/16.0"/IPS/WUXGA/NoOS/grey (83E70010RK)</t>
        </is>
      </c>
      <c r="E1558" s="2">
        <v>14</v>
      </c>
      <c r="F1558" s="2">
        <v>14</v>
      </c>
      <c r="H1558" s="2">
        <v>513</v>
      </c>
      <c r="I1558" s="2" t="inlineStr">
        <is>
          <t>$</t>
        </is>
      </c>
      <c r="J1558" s="2">
        <f>HYPERLINK("https://app.astro.lead-studio.pro/product/834b731d-f5ea-4ff1-82cd-0cd2a22c9ee4")</f>
      </c>
    </row>
    <row r="1559" spans="1:10" customHeight="0">
      <c r="A1559" s="2" t="inlineStr">
        <is>
          <t>Ноутбуки</t>
        </is>
      </c>
      <c r="B1559" s="2" t="inlineStr">
        <is>
          <t>Lenovo</t>
        </is>
      </c>
      <c r="C1559" s="2" t="inlineStr">
        <is>
          <t>83GS00EMRK</t>
        </is>
      </c>
      <c r="D1559" s="2" t="inlineStr">
        <is>
          <t>Ноутбук Lenovo LOQ 15IAX9 Core i5-12450HX/24Gb/SSD512Gb/RTX3050 6Gb/15.6"/IPS/FHD/NoOS/grey (83GS00EMRK)</t>
        </is>
      </c>
      <c r="E1559" s="2">
        <v>54</v>
      </c>
      <c r="F1559" s="2">
        <v>54</v>
      </c>
      <c r="H1559" s="2">
        <v>991</v>
      </c>
      <c r="I1559" s="2" t="inlineStr">
        <is>
          <t>$</t>
        </is>
      </c>
      <c r="J1559" s="2">
        <f>HYPERLINK("https://app.astro.lead-studio.pro/product/36cd02f9-c8c3-45d8-8e92-d14c452257ab")</f>
      </c>
    </row>
    <row r="1560" spans="1:10" customHeight="0">
      <c r="A1560" s="2" t="inlineStr">
        <is>
          <t>Ноутбуки</t>
        </is>
      </c>
      <c r="B1560" s="2" t="inlineStr">
        <is>
          <t>Lenovo</t>
        </is>
      </c>
      <c r="C1560" s="2" t="inlineStr">
        <is>
          <t>83GS00ENRK||bp</t>
        </is>
      </c>
      <c r="D1560" s="2" t="inlineStr">
        <is>
          <t>Ноутбук Lenovo LOQ 15IAX9 Core i5-12450HX/16Gb/SSD512Gb/RTX4060 8Gb/15.6"/IPS/FHD/NoOS/grey (83GS00ENRK)
</t>
        </is>
      </c>
      <c r="E1560" s="2">
        <v>4</v>
      </c>
      <c r="F1560" s="2">
        <v>4</v>
      </c>
      <c r="H1560" s="2">
        <v>1042</v>
      </c>
      <c r="I1560" s="2" t="inlineStr">
        <is>
          <t>$</t>
        </is>
      </c>
      <c r="J1560" s="2">
        <f>HYPERLINK("https://app.astro.lead-studio.pro/product/47d68b74-47d5-43b7-9a84-51615bb63c32")</f>
      </c>
    </row>
    <row r="1561" spans="1:10" customHeight="0">
      <c r="A1561" s="2" t="inlineStr">
        <is>
          <t>Ноутбуки</t>
        </is>
      </c>
      <c r="B1561" s="2" t="inlineStr">
        <is>
          <t>Lenovo</t>
        </is>
      </c>
      <c r="C1561" s="2" t="inlineStr">
        <is>
          <t>83JC005FRK||bp</t>
        </is>
      </c>
      <c r="D1561" s="2" t="inlineStr">
        <is>
          <t>Ноутбук Lenovo Bad Pack Ноутбук Lenovo LOQ 15ARP9 AMD Ryzen 5 7235HS/24Gb/SSD512Gb/RTX 3050 6Gb/15.6"/IPS/FHD/144Hz/NoOS/grey (83JC005FRK) bp</t>
        </is>
      </c>
      <c r="E1561" s="2">
        <v>3</v>
      </c>
      <c r="F1561" s="2">
        <v>3</v>
      </c>
      <c r="H1561" s="2">
        <v>964</v>
      </c>
      <c r="I1561" s="2" t="inlineStr">
        <is>
          <t>$</t>
        </is>
      </c>
      <c r="J1561" s="2">
        <f>HYPERLINK("https://app.astro.lead-studio.pro/product/52d6c1b6-e236-4083-8910-62f5165bd3f0")</f>
      </c>
    </row>
    <row r="1562" spans="1:10" customHeight="0">
      <c r="A1562" s="2" t="inlineStr">
        <is>
          <t>Ноутбуки</t>
        </is>
      </c>
      <c r="B1562" s="2" t="inlineStr">
        <is>
          <t>Lenovo</t>
        </is>
      </c>
      <c r="C1562" s="2" t="inlineStr">
        <is>
          <t>83JC005HRK</t>
        </is>
      </c>
      <c r="D1562" s="2" t="inlineStr">
        <is>
          <t>Ноутбук Lenovo LOQ 15ARP9 Ryzen 7 7435HS/16Gb/SSD1Tb/RTX4060 8Gb/15.6"/IPS/FHD/NoOS/grey (83JC005HRK)</t>
        </is>
      </c>
      <c r="E1562" s="2">
        <v>9</v>
      </c>
      <c r="F1562" s="2">
        <v>9</v>
      </c>
      <c r="H1562" s="2">
        <v>1381</v>
      </c>
      <c r="I1562" s="2" t="inlineStr">
        <is>
          <t>$</t>
        </is>
      </c>
      <c r="J1562" s="2">
        <f>HYPERLINK("https://app.astro.lead-studio.pro/product/4ed9de71-219b-454b-ba82-bb48f49af7de")</f>
      </c>
    </row>
    <row r="1563" spans="1:10" customHeight="0">
      <c r="A1563" s="2" t="inlineStr">
        <is>
          <t>Ноутбуки</t>
        </is>
      </c>
      <c r="B1563" s="2" t="inlineStr">
        <is>
          <t>Lenovo</t>
        </is>
      </c>
      <c r="C1563" s="2" t="inlineStr">
        <is>
          <t>83JC005JRK||bp</t>
        </is>
      </c>
      <c r="D1563" s="2" t="inlineStr">
        <is>
          <t>Ноутбук Lenovo LOQ 15ARP9 Ryzen 7 7435HS/16Gb/SSD512Gb/15.6"/IPS/FHD/NoOs/grey (83JC005JRK)</t>
        </is>
      </c>
      <c r="E1563" s="2">
        <v>1</v>
      </c>
      <c r="F1563" s="2">
        <v>1</v>
      </c>
      <c r="H1563" s="2">
        <v>898</v>
      </c>
      <c r="I1563" s="2" t="inlineStr">
        <is>
          <t>$</t>
        </is>
      </c>
      <c r="J1563" s="2">
        <f>HYPERLINK("https://app.astro.lead-studio.pro/product/a86a79a0-6622-4eaa-b7fa-4ee26d525cda")</f>
      </c>
    </row>
    <row r="1564" spans="1:10" customHeight="0">
      <c r="A1564" s="2" t="inlineStr">
        <is>
          <t>Ноутбуки</t>
        </is>
      </c>
      <c r="B1564" s="2" t="inlineStr">
        <is>
          <t>ASUS</t>
        </is>
      </c>
      <c r="C1564" s="2" t="inlineStr">
        <is>
          <t>90NB0WA4-M00UR0||bp</t>
        </is>
      </c>
      <c r="D1564" s="2" t="inlineStr">
        <is>
          <t>Ноутбук ASUS Bad Pack Ноутбук ASUS Zenbook S13 OLED UM5302TA-LV560W AMD Ryzen 7 6800U/16GB/SSD512GB/13.3"/2.8K (2880x1800)/OLED)/Win11/Aqua Celadon Mg-Al (90NB0WA4-M00UR0) bp</t>
        </is>
      </c>
      <c r="E1564" s="2">
        <v>1</v>
      </c>
      <c r="F1564" s="2">
        <v>1</v>
      </c>
      <c r="H1564" s="2">
        <v>1056</v>
      </c>
      <c r="I1564" s="2" t="inlineStr">
        <is>
          <t>$</t>
        </is>
      </c>
      <c r="J1564" s="2">
        <f>HYPERLINK("https://app.astro.lead-studio.pro/product/387582f6-9c03-4081-9165-93e35350787e")</f>
      </c>
    </row>
    <row r="1565" spans="1:10" customHeight="0">
      <c r="A1565" s="2" t="inlineStr">
        <is>
          <t>Ноутбуки</t>
        </is>
      </c>
      <c r="B1565" s="2" t="inlineStr">
        <is>
          <t>ASUS</t>
        </is>
      </c>
      <c r="C1565" s="2" t="inlineStr">
        <is>
          <t>90NB0ZR1-M01EC0</t>
        </is>
      </c>
      <c r="D1565" s="2" t="inlineStr">
        <is>
          <t>Ноутбук ASUS Vivobook Go 15 E1504FA-BQ867 AMD Ryzen 5 7520U/16Gb/SSD512Gb/15.6"/IPS/FHD/NoOS/Cool Silver (90NB0ZR1-M01EC0)</t>
        </is>
      </c>
      <c r="E1565" s="2">
        <v>20</v>
      </c>
      <c r="F1565" s="2">
        <v>20</v>
      </c>
      <c r="H1565" s="2">
        <v>536</v>
      </c>
      <c r="I1565" s="2" t="inlineStr">
        <is>
          <t>$</t>
        </is>
      </c>
      <c r="J1565" s="2">
        <f>HYPERLINK("https://app.astro.lead-studio.pro/product/b1d53767-c79b-4e47-98ae-064a2d2261ae")</f>
      </c>
    </row>
    <row r="1566" spans="1:10" customHeight="0">
      <c r="A1566" s="2" t="inlineStr">
        <is>
          <t>Ноутбуки</t>
        </is>
      </c>
      <c r="B1566" s="2" t="inlineStr">
        <is>
          <t>ASUS</t>
        </is>
      </c>
      <c r="C1566" s="2" t="inlineStr">
        <is>
          <t>90NB0ZR2-M00F40</t>
        </is>
      </c>
      <c r="D1566" s="2" t="inlineStr">
        <is>
          <t>Ноутбук ASUS Vivobook Go 15 E1504FA-BQ344 AMD Ryzen 5 7520U/8GB/SSD256Gb/15.6"/FHD/IPS/noOS/Mixed Black (90NB0ZR2-M00F40)</t>
        </is>
      </c>
      <c r="E1566" s="2">
        <v>2</v>
      </c>
      <c r="F1566" s="2">
        <v>2</v>
      </c>
      <c r="H1566" s="2">
        <v>498</v>
      </c>
      <c r="I1566" s="2" t="inlineStr">
        <is>
          <t>$</t>
        </is>
      </c>
      <c r="J1566" s="2">
        <f>HYPERLINK("https://app.astro.lead-studio.pro/product/bf4ccf10-e86a-45d1-8516-707b85325879")</f>
      </c>
    </row>
    <row r="1567" spans="1:10" customHeight="0">
      <c r="A1567" s="2" t="inlineStr">
        <is>
          <t>Ноутбуки</t>
        </is>
      </c>
      <c r="B1567" s="2" t="inlineStr">
        <is>
          <t>ASUS</t>
        </is>
      </c>
      <c r="C1567" s="2" t="inlineStr">
        <is>
          <t>90NB0ZR2-M012Z0</t>
        </is>
      </c>
      <c r="D1567" s="2" t="inlineStr">
        <is>
          <t>Ноутбук ASUS Vivobook Go 15 E1504FA-BQ664 Ryzen 5 7520U/16Gb/SSD512Gb/15.6"/IPS/FHD/NoOS/black (90NB0ZR2-M012Z0)</t>
        </is>
      </c>
      <c r="E1567" s="2">
        <v>100</v>
      </c>
      <c r="F1567" s="2">
        <v>100</v>
      </c>
      <c r="H1567" s="2">
        <v>545</v>
      </c>
      <c r="I1567" s="2" t="inlineStr">
        <is>
          <t>$</t>
        </is>
      </c>
      <c r="J1567" s="2">
        <f>HYPERLINK("https://app.astro.lead-studio.pro/product/ff07184a-6402-4f25-a886-ec407596c3b2")</f>
      </c>
    </row>
    <row r="1568" spans="1:10" customHeight="0">
      <c r="A1568" s="2" t="inlineStr">
        <is>
          <t>Ноутбуки</t>
        </is>
      </c>
      <c r="B1568" s="2" t="inlineStr">
        <is>
          <t>ASUS</t>
        </is>
      </c>
      <c r="C1568" s="2" t="inlineStr">
        <is>
          <t>90NB0ZR2-M01YV0</t>
        </is>
      </c>
      <c r="D1568" s="2" t="inlineStr">
        <is>
          <t>Ноутбук ASUS Vivobook Go 15 E1504FA-BQ091 Ryzen 3 7320U/8Gb/SSD256Gb/15.6"/IPS/FHD/NoOS/black (90NB0ZR2-M01YV0)</t>
        </is>
      </c>
      <c r="E1568" s="2">
        <v>20</v>
      </c>
      <c r="F1568" s="2">
        <v>20</v>
      </c>
      <c r="H1568" s="2">
        <v>439</v>
      </c>
      <c r="I1568" s="2" t="inlineStr">
        <is>
          <t>$</t>
        </is>
      </c>
      <c r="J1568" s="2">
        <f>HYPERLINK("https://app.astro.lead-studio.pro/product/aa383d8f-e4c3-4d95-90a6-542a15c8c441")</f>
      </c>
    </row>
    <row r="1569" spans="1:10" customHeight="0">
      <c r="A1569" s="2" t="inlineStr">
        <is>
          <t>Ноутбуки</t>
        </is>
      </c>
      <c r="B1569" s="2" t="inlineStr">
        <is>
          <t>ASUS</t>
        </is>
      </c>
      <c r="C1569" s="2" t="inlineStr">
        <is>
          <t>90NB0ZR2-M01ZE0</t>
        </is>
      </c>
      <c r="D1569" s="2" t="inlineStr">
        <is>
          <t>Ноутбук ASUS Vivobook Go 15 E1504FA-BQ210 Ryzen 3 7320U/8Gb/SSD512Gb/15.6"/IPS/FHD/NoOS/black (90NB0ZR2-M01ZE0)</t>
        </is>
      </c>
      <c r="E1569" s="2">
        <v>20</v>
      </c>
      <c r="F1569" s="2">
        <v>20</v>
      </c>
      <c r="H1569" s="2">
        <v>469</v>
      </c>
      <c r="I1569" s="2" t="inlineStr">
        <is>
          <t>$</t>
        </is>
      </c>
      <c r="J1569" s="2">
        <f>HYPERLINK("https://app.astro.lead-studio.pro/product/d9ad3fed-be4b-4614-86ff-7a56c75e8504")</f>
      </c>
    </row>
    <row r="1570" spans="1:10" customHeight="0">
      <c r="A1570" s="2" t="inlineStr">
        <is>
          <t>Ноутбуки</t>
        </is>
      </c>
      <c r="B1570" s="2" t="inlineStr">
        <is>
          <t>ASUS</t>
        </is>
      </c>
      <c r="C1570" s="2" t="inlineStr">
        <is>
          <t>90NB0ZR3-M01YW0</t>
        </is>
      </c>
      <c r="D1570" s="2" t="inlineStr">
        <is>
          <t>Ноутбук ASUS Vivobook Go 15 E1504FA-BQ120 Ryzen 3 7320U/8Gb/SSD512Gb/15.6"/IPS/FHD/NoOS/grey (90NB0ZR3-M01YW0)</t>
        </is>
      </c>
      <c r="E1570" s="2">
        <v>20</v>
      </c>
      <c r="F1570" s="2">
        <v>20</v>
      </c>
      <c r="H1570" s="2">
        <v>468</v>
      </c>
      <c r="I1570" s="2" t="inlineStr">
        <is>
          <t>$</t>
        </is>
      </c>
      <c r="J1570" s="2">
        <f>HYPERLINK("https://app.astro.lead-studio.pro/product/12152b3f-feef-400b-976c-1e126d8e1b66")</f>
      </c>
    </row>
    <row r="1571" spans="1:10" customHeight="0">
      <c r="A1571" s="2" t="inlineStr">
        <is>
          <t>Ноутбуки</t>
        </is>
      </c>
      <c r="B1571" s="2" t="inlineStr">
        <is>
          <t>ASUS</t>
        </is>
      </c>
      <c r="C1571" s="2" t="inlineStr">
        <is>
          <t>90NB0ZR3-M02840</t>
        </is>
      </c>
      <c r="D1571" s="2" t="inlineStr">
        <is>
          <t>Ноутбук ASUS Vivobook Go 15 E1504FA-BQ088 Ryzen 3 7320U/8Gb/SSD256Gb/15.6"/IPS/FHD/NoOS/grey (990NB0ZR3-M02840)</t>
        </is>
      </c>
      <c r="E1571" s="2">
        <v>20</v>
      </c>
      <c r="F1571" s="2">
        <v>20</v>
      </c>
      <c r="H1571" s="2">
        <v>448</v>
      </c>
      <c r="I1571" s="2" t="inlineStr">
        <is>
          <t>$</t>
        </is>
      </c>
      <c r="J1571" s="2">
        <f>HYPERLINK("https://app.astro.lead-studio.pro/product/d1b5b040-07aa-489a-b136-97811e415477")</f>
      </c>
    </row>
    <row r="1572" spans="1:10" customHeight="0">
      <c r="A1572" s="2" t="inlineStr">
        <is>
          <t>Ноутбуки</t>
        </is>
      </c>
      <c r="B1572" s="2" t="inlineStr">
        <is>
          <t>ASUS</t>
        </is>
      </c>
      <c r="C1572" s="2" t="inlineStr">
        <is>
          <t>90NB0ZT1-M00XC0</t>
        </is>
      </c>
      <c r="D1572" s="2" t="inlineStr">
        <is>
          <t>Ноутбук ASUS Vivobook Go 15 E1504GA-BQ192 Core i3-N305 /8Gb/SSD256Gb/15.6"/IPS/FHD/NoOS/silver (90NB0ZT1-M00XC0)</t>
        </is>
      </c>
      <c r="E1572" s="2">
        <v>20</v>
      </c>
      <c r="F1572" s="2">
        <v>20</v>
      </c>
      <c r="H1572" s="2">
        <v>439</v>
      </c>
      <c r="I1572" s="2" t="inlineStr">
        <is>
          <t>$</t>
        </is>
      </c>
      <c r="J1572" s="2">
        <f>HYPERLINK("https://app.astro.lead-studio.pro/product/efef7ad8-c323-4f49-9589-60ee3188333b")</f>
      </c>
    </row>
    <row r="1573" spans="1:10" customHeight="0">
      <c r="A1573" s="2" t="inlineStr">
        <is>
          <t>Ноутбуки</t>
        </is>
      </c>
      <c r="B1573" s="2" t="inlineStr">
        <is>
          <t>ASUS</t>
        </is>
      </c>
      <c r="C1573" s="2" t="inlineStr">
        <is>
          <t>90NB0ZT1-M00XM0</t>
        </is>
      </c>
      <c r="D1573" s="2" t="inlineStr">
        <is>
          <t>Ноутбук ASUS Vivobook Go 15 E1504GA-BQ527 Processor N100/8Gb/SSD256Gb/15.6"/IPS/FHD/NoOS/silver (90NB0ZT1-M00XM0)</t>
        </is>
      </c>
      <c r="E1573" s="2">
        <v>20</v>
      </c>
      <c r="F1573" s="2">
        <v>20</v>
      </c>
      <c r="H1573" s="2">
        <v>358</v>
      </c>
      <c r="I1573" s="2" t="inlineStr">
        <is>
          <t>$</t>
        </is>
      </c>
      <c r="J1573" s="2">
        <f>HYPERLINK("https://app.astro.lead-studio.pro/product/5fea2edc-4231-4845-af2e-29cf106310a3")</f>
      </c>
    </row>
    <row r="1574" spans="1:10" customHeight="0">
      <c r="A1574" s="2" t="inlineStr">
        <is>
          <t>Ноутбуки</t>
        </is>
      </c>
      <c r="B1574" s="2" t="inlineStr">
        <is>
          <t>ASUS</t>
        </is>
      </c>
      <c r="C1574" s="2" t="inlineStr">
        <is>
          <t>90NB0ZT2-M00XB0</t>
        </is>
      </c>
      <c r="D1574" s="2" t="inlineStr">
        <is>
          <t>Ноутбук ASUS Vivobook Go 15 E1504GA-BQ193 Core i3-N305 /8Gb/SSD256Gb/15.6"/IPS/FHD/NoOS/black (90NB0ZT2-M00XB0)</t>
        </is>
      </c>
      <c r="E1574" s="2">
        <v>20</v>
      </c>
      <c r="F1574" s="2">
        <v>20</v>
      </c>
      <c r="H1574" s="2">
        <v>431</v>
      </c>
      <c r="I1574" s="2" t="inlineStr">
        <is>
          <t>$</t>
        </is>
      </c>
      <c r="J1574" s="2">
        <f>HYPERLINK("https://app.astro.lead-studio.pro/product/befc3b6e-7228-4d44-8a17-bf94d775f272")</f>
      </c>
    </row>
    <row r="1575" spans="1:10" customHeight="0">
      <c r="A1575" s="2" t="inlineStr">
        <is>
          <t>Ноутбуки</t>
        </is>
      </c>
      <c r="B1575" s="2" t="inlineStr">
        <is>
          <t>ASUS</t>
        </is>
      </c>
      <c r="C1575" s="2" t="inlineStr">
        <is>
          <t>90NB0ZT2-M00XN0</t>
        </is>
      </c>
      <c r="D1575" s="2" t="inlineStr">
        <is>
          <t>Ноутбук ASUS Vivobook Go 15 E1504GA-BQ526 Processor N100/8Gb/SSD256Gb/15.6"/IPS/FHD/NoOSblack (90NB0ZT2-M00XN0)</t>
        </is>
      </c>
      <c r="E1575" s="2">
        <v>20</v>
      </c>
      <c r="F1575" s="2">
        <v>20</v>
      </c>
      <c r="H1575" s="2">
        <v>354</v>
      </c>
      <c r="I1575" s="2" t="inlineStr">
        <is>
          <t>$</t>
        </is>
      </c>
      <c r="J1575" s="2">
        <f>HYPERLINK("https://app.astro.lead-studio.pro/product/4331db5b-3aa5-4e95-aa16-cd2a13a994e6")</f>
      </c>
    </row>
    <row r="1576" spans="1:10" customHeight="0">
      <c r="A1576" s="2" t="inlineStr">
        <is>
          <t>Ноутбуки</t>
        </is>
      </c>
      <c r="B1576" s="2" t="inlineStr">
        <is>
          <t>ASUS</t>
        </is>
      </c>
      <c r="C1576" s="2" t="inlineStr">
        <is>
          <t>90NB1021-M003H0</t>
        </is>
      </c>
      <c r="D1576" s="2" t="inlineStr">
        <is>
          <t>Ноутбук ASUS Vivobook X1504ZA-BQ084 Core i3-1215U/8Gb/SSD256GB/15.6"/IPS/FHD/NoOS/Blue(90NB1021-M003H0)</t>
        </is>
      </c>
      <c r="E1576" s="2">
        <v>20</v>
      </c>
      <c r="F1576" s="2">
        <v>20</v>
      </c>
      <c r="H1576" s="2">
        <v>449</v>
      </c>
      <c r="I1576" s="2" t="inlineStr">
        <is>
          <t>$</t>
        </is>
      </c>
      <c r="J1576" s="2">
        <f>HYPERLINK("https://app.astro.lead-studio.pro/product/682912ce-860b-4c9a-a390-9b5c7f487347")</f>
      </c>
    </row>
    <row r="1577" spans="1:10" customHeight="0">
      <c r="A1577" s="2" t="inlineStr">
        <is>
          <t>Ноутбуки</t>
        </is>
      </c>
      <c r="B1577" s="2" t="inlineStr">
        <is>
          <t>ASUS</t>
        </is>
      </c>
      <c r="C1577" s="2" t="inlineStr">
        <is>
          <t>90NB1021-M00R80</t>
        </is>
      </c>
      <c r="D1577" s="2" t="inlineStr">
        <is>
          <t>Ноутбук ASUS Vivobook 15 X1504ZA-BQ322 Core i5-1235U/8Gb/SSD512Gb/15.6"/IPS/FHD/NoOS/blue (90NB1021-M00R80)</t>
        </is>
      </c>
      <c r="E1577" s="2">
        <v>100</v>
      </c>
      <c r="F1577" s="2">
        <v>100</v>
      </c>
      <c r="H1577" s="2">
        <v>527</v>
      </c>
      <c r="I1577" s="2" t="inlineStr">
        <is>
          <t>$</t>
        </is>
      </c>
      <c r="J1577" s="2">
        <f>HYPERLINK("https://app.astro.lead-studio.pro/product/b9c8d149-a25c-43cd-ab83-a3ba5e1681be")</f>
      </c>
    </row>
    <row r="1578" spans="1:10" customHeight="0">
      <c r="A1578" s="2" t="inlineStr">
        <is>
          <t>Ноутбуки</t>
        </is>
      </c>
      <c r="B1578" s="2" t="inlineStr">
        <is>
          <t>ASUS</t>
        </is>
      </c>
      <c r="C1578" s="2" t="inlineStr">
        <is>
          <t>90NB1021-M02500</t>
        </is>
      </c>
      <c r="D1578" s="2" t="inlineStr">
        <is>
          <t>Ноутбук ASUS Vivobook 15 X1504ZA-BQ1484  Core i3-1215U/8Gb/SSD256Gb/15.6"/IPS/FHD/NoOS/blue (90NB1021-M02500)</t>
        </is>
      </c>
      <c r="E1578" s="2">
        <v>20</v>
      </c>
      <c r="F1578" s="2">
        <v>20</v>
      </c>
      <c r="H1578" s="2">
        <v>454</v>
      </c>
      <c r="I1578" s="2" t="inlineStr">
        <is>
          <t>$</t>
        </is>
      </c>
      <c r="J1578" s="2">
        <f>HYPERLINK("https://app.astro.lead-studio.pro/product/c0823691-0238-472a-acb1-cc8b504361a2")</f>
      </c>
    </row>
    <row r="1579" spans="1:10" customHeight="0">
      <c r="A1579" s="2" t="inlineStr">
        <is>
          <t>Ноутбуки</t>
        </is>
      </c>
      <c r="B1579" s="2" t="inlineStr">
        <is>
          <t>ASUS</t>
        </is>
      </c>
      <c r="C1579" s="2" t="inlineStr">
        <is>
          <t>90NB1022-M003J0</t>
        </is>
      </c>
      <c r="D1579" s="2" t="inlineStr">
        <is>
          <t>Ноутбук ASUS Vivobook 15 Intel Сore i3-1215U/8Gb/SSD256Gb/15.6"/FHD/IPS/backlit/NoOS/Cool Silver (90NB1022-M003J0)</t>
        </is>
      </c>
      <c r="E1579" s="2">
        <v>20</v>
      </c>
      <c r="F1579" s="2">
        <v>20</v>
      </c>
      <c r="H1579" s="2">
        <v>451</v>
      </c>
      <c r="I1579" s="2" t="inlineStr">
        <is>
          <t>$</t>
        </is>
      </c>
      <c r="J1579" s="2">
        <f>HYPERLINK("https://app.astro.lead-studio.pro/product/1fb3529c-c33c-472e-bf8a-292b965f1b9b")</f>
      </c>
    </row>
    <row r="1580" spans="1:10" customHeight="0">
      <c r="A1580" s="2" t="inlineStr">
        <is>
          <t>Ноутбуки</t>
        </is>
      </c>
      <c r="B1580" s="2" t="inlineStr">
        <is>
          <t>ASUS</t>
        </is>
      </c>
      <c r="C1580" s="2" t="inlineStr">
        <is>
          <t>90NB1022-M00R90</t>
        </is>
      </c>
      <c r="D1580" s="2" t="inlineStr">
        <is>
          <t>Ноутбук ASUS Vivobook 15 X1504ZA-BQ501 Core i5-1235U/8Gb/SSD512Gb/15.6"/IPS/FHD/NoOS/Silver (90NB1022-M00R90)</t>
        </is>
      </c>
      <c r="E1580" s="2">
        <v>100</v>
      </c>
      <c r="F1580" s="2">
        <v>100</v>
      </c>
      <c r="H1580" s="2">
        <v>519</v>
      </c>
      <c r="I1580" s="2" t="inlineStr">
        <is>
          <t>$</t>
        </is>
      </c>
      <c r="J1580" s="2">
        <f>HYPERLINK("https://app.astro.lead-studio.pro/product/3674c114-04f5-4f9a-912c-2a6a25b2bafe")</f>
      </c>
    </row>
    <row r="1581" spans="1:10" customHeight="0">
      <c r="A1581" s="2" t="inlineStr">
        <is>
          <t>Ноутбуки</t>
        </is>
      </c>
      <c r="B1581" s="2" t="inlineStr">
        <is>
          <t>ASUS</t>
        </is>
      </c>
      <c r="C1581" s="2" t="inlineStr">
        <is>
          <t>90NB1022-M02510</t>
        </is>
      </c>
      <c r="D1581" s="2" t="inlineStr">
        <is>
          <t>Ноутбук ASUS Vivobook 15 X1504ZA-BQ1478 Core i3-1215U/8Gb/SSD256Gb/15.6"/IPS/FHD/NoOS/silver (90NB1022-M02510)</t>
        </is>
      </c>
      <c r="E1581" s="2">
        <v>20</v>
      </c>
      <c r="F1581" s="2">
        <v>20</v>
      </c>
      <c r="H1581" s="2">
        <v>451</v>
      </c>
      <c r="I1581" s="2" t="inlineStr">
        <is>
          <t>$</t>
        </is>
      </c>
      <c r="J1581" s="2">
        <f>HYPERLINK("https://app.astro.lead-studio.pro/product/f6a3d768-c627-4566-bac3-81a026d1b09e")</f>
      </c>
    </row>
    <row r="1582" spans="1:10" customHeight="0">
      <c r="A1582" s="2" t="inlineStr">
        <is>
          <t>Ноутбуки</t>
        </is>
      </c>
      <c r="B1582" s="2" t="inlineStr">
        <is>
          <t>ASUS</t>
        </is>
      </c>
      <c r="C1582" s="2" t="inlineStr">
        <is>
          <t>90NB1051-M003L0</t>
        </is>
      </c>
      <c r="D1582" s="2" t="inlineStr">
        <is>
          <t>Ноутбук ASUS Vivobook S 16 Flip TP3604VA-MC101 Core i5-13500H/16Gb/SSD512Gb/16.0"/IPS/WUXGA/NoOS/black (90NB1051-M003L0)</t>
        </is>
      </c>
      <c r="E1582" s="2">
        <v>20</v>
      </c>
      <c r="F1582" s="2">
        <v>20</v>
      </c>
      <c r="H1582" s="2">
        <v>945</v>
      </c>
      <c r="I1582" s="2" t="inlineStr">
        <is>
          <t>$</t>
        </is>
      </c>
      <c r="J1582" s="2">
        <f>HYPERLINK("https://app.astro.lead-studio.pro/product/3f10f499-eca8-46c0-9224-e54f6db2847e")</f>
      </c>
    </row>
    <row r="1583" spans="1:10" customHeight="0">
      <c r="A1583" s="2" t="inlineStr">
        <is>
          <t>Ноутбуки</t>
        </is>
      </c>
      <c r="B1583" s="2" t="inlineStr">
        <is>
          <t>ASUS</t>
        </is>
      </c>
      <c r="C1583" s="2" t="inlineStr">
        <is>
          <t>90NB1072-M009X0</t>
        </is>
      </c>
      <c r="D1583" s="2" t="inlineStr">
        <is>
          <t>Ноутбук ASUS Vivobook 16X K3604VA-MB243 Core i5-1335U/16Gb/SSD512Gb/16.0"/IPS/WUXGA/NoOS/silver (90NB1072-M009X0)</t>
        </is>
      </c>
      <c r="E1583" s="2">
        <v>20</v>
      </c>
      <c r="F1583" s="2">
        <v>20</v>
      </c>
      <c r="H1583" s="2">
        <v>717</v>
      </c>
      <c r="I1583" s="2" t="inlineStr">
        <is>
          <t>$</t>
        </is>
      </c>
      <c r="J1583" s="2">
        <f>HYPERLINK("https://app.astro.lead-studio.pro/product/85b8bfd1-44fe-4cc7-ad74-3ac7a253b124")</f>
      </c>
    </row>
    <row r="1584" spans="1:10" customHeight="0">
      <c r="A1584" s="2" t="inlineStr">
        <is>
          <t>Ноутбуки</t>
        </is>
      </c>
      <c r="B1584" s="2" t="inlineStr">
        <is>
          <t>ASUS</t>
        </is>
      </c>
      <c r="C1584" s="2" t="inlineStr">
        <is>
          <t>90NB10A2-M00JX0</t>
        </is>
      </c>
      <c r="D1584" s="2" t="inlineStr">
        <is>
          <t>Ноутбук ASUS Vivobook 15X K3504VA-MA468 Core i5-1335U/16Gb/SSD512Gb/15.6"/OLED/2.8K/NoOS/silver (90NB10A2-M00JX0)</t>
        </is>
      </c>
      <c r="E1584" s="2">
        <v>20</v>
      </c>
      <c r="F1584" s="2">
        <v>20</v>
      </c>
      <c r="H1584" s="2">
        <v>751</v>
      </c>
      <c r="I1584" s="2" t="inlineStr">
        <is>
          <t>$</t>
        </is>
      </c>
      <c r="J1584" s="2">
        <f>HYPERLINK("https://app.astro.lead-studio.pro/product/e7b078f1-8621-4535-a1da-9d76ac4235df")</f>
      </c>
    </row>
    <row r="1585" spans="1:10" customHeight="0">
      <c r="A1585" s="2" t="inlineStr">
        <is>
          <t>Ноутбуки</t>
        </is>
      </c>
      <c r="B1585" s="2" t="inlineStr">
        <is>
          <t>ASUS</t>
        </is>
      </c>
      <c r="C1585" s="2" t="inlineStr">
        <is>
          <t>90NB10J1-M01HX0</t>
        </is>
      </c>
      <c r="D1585" s="2" t="inlineStr">
        <is>
          <t>Ноутбук ASUS Vivobook 15 X1504VA-BQ312 Core i3-1315U/8Gb/SSD256Gb/15.6"/IPS/FHD/NoOS/blue (90NB10J1-M01HX0)</t>
        </is>
      </c>
      <c r="E1585" s="2">
        <v>100</v>
      </c>
      <c r="F1585" s="2">
        <v>100</v>
      </c>
      <c r="H1585" s="2">
        <v>478</v>
      </c>
      <c r="I1585" s="2" t="inlineStr">
        <is>
          <t>$</t>
        </is>
      </c>
      <c r="J1585" s="2">
        <f>HYPERLINK("https://app.astro.lead-studio.pro/product/bbd62801-ba3f-40ab-acee-0bef08903b47")</f>
      </c>
    </row>
    <row r="1586" spans="1:10" customHeight="0">
      <c r="A1586" s="2" t="inlineStr">
        <is>
          <t>Ноутбуки</t>
        </is>
      </c>
      <c r="B1586" s="2" t="inlineStr">
        <is>
          <t>ASUS</t>
        </is>
      </c>
      <c r="C1586" s="2" t="inlineStr">
        <is>
          <t>90NB10J2-M01AE0</t>
        </is>
      </c>
      <c r="D1586" s="2" t="inlineStr">
        <is>
          <t>Ноутбук ASUS Vivobook 15 X1504VA-BQ1076 Core i7-1355U/16Gb/SSD512Gb/15.6"/IPS/FHD/NoOS/silver (90NB10J2-M01AE0)</t>
        </is>
      </c>
      <c r="E1586" s="2">
        <v>100</v>
      </c>
      <c r="F1586" s="2">
        <v>100</v>
      </c>
      <c r="H1586" s="2">
        <v>716</v>
      </c>
      <c r="I1586" s="2" t="inlineStr">
        <is>
          <t>$</t>
        </is>
      </c>
      <c r="J1586" s="2">
        <f>HYPERLINK("https://app.astro.lead-studio.pro/product/b731e436-8f68-41ce-a6ea-85044de2261c")</f>
      </c>
    </row>
    <row r="1587" spans="1:10" customHeight="0">
      <c r="A1587" s="2" t="inlineStr">
        <is>
          <t>Ноутбуки</t>
        </is>
      </c>
      <c r="B1587" s="2" t="inlineStr">
        <is>
          <t>ASUS</t>
        </is>
      </c>
      <c r="C1587" s="2" t="inlineStr">
        <is>
          <t>90NB10J2-M01HY0</t>
        </is>
      </c>
      <c r="D1587" s="2" t="inlineStr">
        <is>
          <t>Ноутбук ASUS Vivobook 15 X1504VA-BQ1244 Core i3-1315U/8Gb/SSD256Gb/15.6"/IPS/FHD/NoOS/grey (90NB10J2-M01HY0)</t>
        </is>
      </c>
      <c r="E1587" s="2">
        <v>33</v>
      </c>
      <c r="F1587" s="2">
        <v>33</v>
      </c>
      <c r="H1587" s="2">
        <v>486</v>
      </c>
      <c r="I1587" s="2" t="inlineStr">
        <is>
          <t>$</t>
        </is>
      </c>
      <c r="J1587" s="2">
        <f>HYPERLINK("https://app.astro.lead-studio.pro/product/9508979f-4b12-4236-8f7d-a9e59baa4ab3")</f>
      </c>
    </row>
    <row r="1588" spans="1:10" customHeight="0">
      <c r="A1588" s="2" t="inlineStr">
        <is>
          <t>Ноутбуки</t>
        </is>
      </c>
      <c r="B1588" s="2" t="inlineStr">
        <is>
          <t>ASUS</t>
        </is>
      </c>
      <c r="C1588" s="2" t="inlineStr">
        <is>
          <t>90NB10N3-M00WE0</t>
        </is>
      </c>
      <c r="D1588" s="2" t="inlineStr">
        <is>
          <t>Ноутбук ASUS Vivobook 16 X1605VA-MB693 Core i5-13500H/16Gb/SSD512Gb/16.0"/IPS/WUXGA/NoOS/black (90NB10N3-M00WE0)</t>
        </is>
      </c>
      <c r="E1588" s="2">
        <v>20</v>
      </c>
      <c r="F1588" s="2">
        <v>20</v>
      </c>
      <c r="H1588" s="2">
        <v>733</v>
      </c>
      <c r="I1588" s="2" t="inlineStr">
        <is>
          <t>$</t>
        </is>
      </c>
      <c r="J1588" s="2">
        <f>HYPERLINK("https://app.astro.lead-studio.pro/product/cdba7622-e1f4-4d68-8fef-21f117aa8d93")</f>
      </c>
    </row>
    <row r="1589" spans="1:10" customHeight="0">
      <c r="A1589" s="2" t="inlineStr">
        <is>
          <t>Ноутбуки</t>
        </is>
      </c>
      <c r="B1589" s="2" t="inlineStr">
        <is>
          <t>ASUS</t>
        </is>
      </c>
      <c r="C1589" s="2" t="inlineStr">
        <is>
          <t>90NB1192-M003S0</t>
        </is>
      </c>
      <c r="D1589" s="2" t="inlineStr">
        <is>
          <t>Ноутбук ASUS Vivobook 17X M3704YA-AU088 AMD Ryzen 7 7730U/16Gb/SSD1Tb/17.3"/FHD/IPS/noOS/Indie Black (90NB1192-M003S0)</t>
        </is>
      </c>
      <c r="E1589" s="2">
        <v>20</v>
      </c>
      <c r="F1589" s="2">
        <v>20</v>
      </c>
      <c r="H1589" s="2">
        <v>828</v>
      </c>
      <c r="I1589" s="2" t="inlineStr">
        <is>
          <t>$</t>
        </is>
      </c>
      <c r="J1589" s="2">
        <f>HYPERLINK("https://app.astro.lead-studio.pro/product/e16748e4-bb8d-4330-98f4-246a84a0f949")</f>
      </c>
    </row>
    <row r="1590" spans="1:10" customHeight="0">
      <c r="A1590" s="2" t="inlineStr">
        <is>
          <t>Ноутбуки</t>
        </is>
      </c>
      <c r="B1590" s="2" t="inlineStr">
        <is>
          <t>ASUS</t>
        </is>
      </c>
      <c r="C1590" s="2" t="inlineStr">
        <is>
          <t>90NB11A1-M00440</t>
        </is>
      </c>
      <c r="D1590" s="2" t="inlineStr">
        <is>
          <t>Ноутбук ASUS VivoBook 16X M3604YA-MB106 AMD Ryzen 7 7730U/16Gb/SSD512Gb/16" WUXGA/IPS/UMA/NoOS/Black (90NB11A1-M00440)</t>
        </is>
      </c>
      <c r="E1590" s="2">
        <v>20</v>
      </c>
      <c r="F1590" s="2">
        <v>20</v>
      </c>
      <c r="H1590" s="2">
        <v>712</v>
      </c>
      <c r="I1590" s="2" t="inlineStr">
        <is>
          <t>$</t>
        </is>
      </c>
      <c r="J1590" s="2">
        <f>HYPERLINK("https://app.astro.lead-studio.pro/product/dfb3df04-fe74-42ca-b492-c300a39fd328")</f>
      </c>
    </row>
    <row r="1591" spans="1:10" customHeight="0">
      <c r="A1591" s="2" t="inlineStr">
        <is>
          <t>Ноутбуки</t>
        </is>
      </c>
      <c r="B1591" s="2" t="inlineStr">
        <is>
          <t>ASUS</t>
        </is>
      </c>
      <c r="C1591" s="2" t="inlineStr">
        <is>
          <t>90NB11F1-M00D80</t>
        </is>
      </c>
      <c r="D1591" s="2" t="inlineStr">
        <is>
          <t>Ноутбук ASUS Vivobook 16X K3605ZC-MB292 Core i5-12500H/16Gb/SSD512Gb/RTX3050 4Gb/16"/IPS/WUXGA/120Hz/NoOS/Black (90NB11F1-M00D80)</t>
        </is>
      </c>
      <c r="E1591" s="2">
        <v>40</v>
      </c>
      <c r="F1591" s="2">
        <v>40</v>
      </c>
      <c r="H1591" s="2">
        <v>941</v>
      </c>
      <c r="I1591" s="2" t="inlineStr">
        <is>
          <t>$</t>
        </is>
      </c>
      <c r="J1591" s="2">
        <f>HYPERLINK("https://app.astro.lead-studio.pro/product/fb87c4e5-6c23-4c1f-86f1-776c2a209f41")</f>
      </c>
    </row>
    <row r="1592" spans="1:10" customHeight="0">
      <c r="A1592" s="2" t="inlineStr">
        <is>
          <t>Ноутбуки</t>
        </is>
      </c>
      <c r="B1592" s="2" t="inlineStr">
        <is>
          <t>ASUS</t>
        </is>
      </c>
      <c r="C1592" s="2" t="inlineStr">
        <is>
          <t>90NB11R1-M00ZU0</t>
        </is>
      </c>
      <c r="D1592" s="2" t="inlineStr">
        <is>
          <t>Ноутбук ASUS Zenbook 14 UX3405MA-QD379W Core Ultra 7 155H/16Gb/SSD1Tb/14.0"/OLED/FHD/Win11H/blue (90NB11R1-M00ZU0)</t>
        </is>
      </c>
      <c r="E1592" s="2">
        <v>58</v>
      </c>
      <c r="F1592" s="2">
        <v>58</v>
      </c>
      <c r="H1592" s="2">
        <v>1369</v>
      </c>
      <c r="I1592" s="2" t="inlineStr">
        <is>
          <t>$</t>
        </is>
      </c>
      <c r="J1592" s="2">
        <f>HYPERLINK("https://app.astro.lead-studio.pro/product/fefc65e1-4878-4381-9f6b-e353dd011579")</f>
      </c>
    </row>
    <row r="1593" spans="1:10" customHeight="0">
      <c r="A1593" s="2" t="inlineStr">
        <is>
          <t>Ноутбуки</t>
        </is>
      </c>
      <c r="B1593" s="2" t="inlineStr">
        <is>
          <t>ASUS</t>
        </is>
      </c>
      <c r="C1593" s="2" t="inlineStr">
        <is>
          <t>90NB11R1-M010B0</t>
        </is>
      </c>
      <c r="D1593" s="2" t="inlineStr">
        <is>
          <t>Ноутбук ASUS Zenbook 14 OLED UX3405MA-QD437 Intel Core Ultra 5 Processor 125H/16Gb/SSD512GB/14"/OLED/FHD/NoOS/Ponder Blue (90NB11R1-M010B0)</t>
        </is>
      </c>
      <c r="E1593" s="2">
        <v>16</v>
      </c>
      <c r="F1593" s="2">
        <v>16</v>
      </c>
      <c r="H1593" s="2">
        <v>1037</v>
      </c>
      <c r="I1593" s="2" t="inlineStr">
        <is>
          <t>$</t>
        </is>
      </c>
      <c r="J1593" s="2">
        <f>HYPERLINK("https://app.astro.lead-studio.pro/product/7fa5a31c-6b29-4c9c-87b8-47a1726ada52")</f>
      </c>
    </row>
    <row r="1594" spans="1:10" customHeight="0">
      <c r="A1594" s="2" t="inlineStr">
        <is>
          <t>Ноутбуки</t>
        </is>
      </c>
      <c r="B1594" s="2" t="inlineStr">
        <is>
          <t>ASUS</t>
        </is>
      </c>
      <c r="C1594" s="2" t="inlineStr">
        <is>
          <t>90NB11R2-M00ZV0</t>
        </is>
      </c>
      <c r="D1594" s="2" t="inlineStr">
        <is>
          <t>Ноутбук ASUS Zenbook 14 Ultra 7 155H/16Gb/SSD1Tb/14.0"/OLED/FHD/Win11H/silver (90NB11R2-M00ZV0)</t>
        </is>
      </c>
      <c r="E1594" s="2">
        <v>20</v>
      </c>
      <c r="F1594" s="2">
        <v>20</v>
      </c>
      <c r="H1594" s="2">
        <v>1363</v>
      </c>
      <c r="I1594" s="2" t="inlineStr">
        <is>
          <t>$</t>
        </is>
      </c>
      <c r="J1594" s="2">
        <f>HYPERLINK("https://app.astro.lead-studio.pro/product/f1cf8eea-54b0-43b0-959b-9d202f7d7222")</f>
      </c>
    </row>
    <row r="1595" spans="1:10" customHeight="0">
      <c r="A1595" s="2" t="inlineStr">
        <is>
          <t>Ноутбуки</t>
        </is>
      </c>
      <c r="B1595" s="2" t="inlineStr">
        <is>
          <t>ASUS</t>
        </is>
      </c>
      <c r="C1595" s="2" t="inlineStr">
        <is>
          <t>90NB11R2-M010C0</t>
        </is>
      </c>
      <c r="D1595" s="2" t="inlineStr">
        <is>
          <t>Ноутбук ASUS Zenbook 14 OLED UX3405MA-QD613 Intel Core Ultra 5 Processor 125H/16Gb/SSD512GB/14"/OLED/FHD/NoOS/Foggy Silver (90NB11R2-M010C0)</t>
        </is>
      </c>
      <c r="E1595" s="2">
        <v>20</v>
      </c>
      <c r="F1595" s="2">
        <v>20</v>
      </c>
      <c r="H1595" s="2">
        <v>1035</v>
      </c>
      <c r="I1595" s="2" t="inlineStr">
        <is>
          <t>$</t>
        </is>
      </c>
      <c r="J1595" s="2">
        <f>HYPERLINK("https://app.astro.lead-studio.pro/product/8b24e1da-501a-4523-869b-e98bfc383c7b")</f>
      </c>
    </row>
    <row r="1596" spans="1:10" customHeight="0">
      <c r="A1596" s="2" t="inlineStr">
        <is>
          <t>Ноутбуки</t>
        </is>
      </c>
      <c r="B1596" s="2" t="inlineStr">
        <is>
          <t>ASUS</t>
        </is>
      </c>
      <c r="C1596" s="2" t="inlineStr">
        <is>
          <t>90NB12V2-M008U0</t>
        </is>
      </c>
      <c r="D1596" s="2" t="inlineStr">
        <is>
          <t>Ноутбук ASUS Zenbook S 13 UX5304MA-NQ128W Core Ultra 7 155U/16Gb/SSD1Tb/13.3"/OLED/3K/Win11H/grey (90NB12V2-M008U0)</t>
        </is>
      </c>
      <c r="E1596" s="2">
        <v>19</v>
      </c>
      <c r="F1596" s="2">
        <v>19</v>
      </c>
      <c r="H1596" s="2">
        <v>1628</v>
      </c>
      <c r="I1596" s="2" t="inlineStr">
        <is>
          <t>$</t>
        </is>
      </c>
      <c r="J1596" s="2">
        <f>HYPERLINK("https://app.astro.lead-studio.pro/product/cbfdf7a5-ad83-4640-a289-571a142fc21a")</f>
      </c>
    </row>
    <row r="1597" spans="1:10" customHeight="0">
      <c r="A1597" s="2" t="inlineStr">
        <is>
          <t>Ноутбуки</t>
        </is>
      </c>
      <c r="B1597" s="2" t="inlineStr">
        <is>
          <t>ASUS</t>
        </is>
      </c>
      <c r="C1597" s="2" t="inlineStr">
        <is>
          <t>90NB12Y3-M004R0</t>
        </is>
      </c>
      <c r="D1597" s="2" t="inlineStr">
        <is>
          <t>Ноутбук ASUS Vivobook Pro 15 N6506MV-MA082 Core Ultra 9 185H/24Gb/SSD1Tb/15.6"/OLED/3K/NoOs/grey (90NB12Y3-M004R0)</t>
        </is>
      </c>
      <c r="E1597" s="2">
        <v>20</v>
      </c>
      <c r="F1597" s="2">
        <v>20</v>
      </c>
      <c r="H1597" s="2">
        <v>1939</v>
      </c>
      <c r="I1597" s="2" t="inlineStr">
        <is>
          <t>$</t>
        </is>
      </c>
      <c r="J1597" s="2">
        <f>HYPERLINK("https://app.astro.lead-studio.pro/product/31a372b3-587c-4e01-aa75-3bcaed52bf5e")</f>
      </c>
    </row>
    <row r="1598" spans="1:10" customHeight="0">
      <c r="A1598" s="2" t="inlineStr">
        <is>
          <t>Ноутбуки</t>
        </is>
      </c>
      <c r="B1598" s="2" t="inlineStr">
        <is>
          <t>ASUS</t>
        </is>
      </c>
      <c r="C1598" s="2" t="inlineStr">
        <is>
          <t>90NB13M1-M00F50</t>
        </is>
      </c>
      <c r="D1598" s="2" t="inlineStr">
        <is>
          <t>Ноутбук ASUS Zenbook S 16 UM5606WA-RK237X Ryzen AI 9 365/24Gb/SSD1Tb/16.0"/OLED/3K/Win11H/grey (90NB13M1-M00F50)</t>
        </is>
      </c>
      <c r="E1598" s="2">
        <v>20</v>
      </c>
      <c r="F1598" s="2">
        <v>20</v>
      </c>
      <c r="H1598" s="2">
        <v>2007</v>
      </c>
      <c r="I1598" s="2" t="inlineStr">
        <is>
          <t>$</t>
        </is>
      </c>
      <c r="J1598" s="2">
        <f>HYPERLINK("https://app.astro.lead-studio.pro/product/509d1868-200a-42d5-b32a-1fb6633fbf00")</f>
      </c>
    </row>
    <row r="1599" spans="1:10" customHeight="0">
      <c r="A1599" s="2" t="inlineStr">
        <is>
          <t>Ноутбуки</t>
        </is>
      </c>
      <c r="B1599" s="2" t="inlineStr">
        <is>
          <t>ASUS</t>
        </is>
      </c>
      <c r="C1599" s="2" t="inlineStr">
        <is>
          <t>90NB13Y2-M000D0</t>
        </is>
      </c>
      <c r="D1599" s="2" t="inlineStr">
        <is>
          <t>Ноутбук ASUS Vivobook 15 X1504VA-BQ574</t>
        </is>
      </c>
      <c r="E1599" s="2">
        <v>1</v>
      </c>
      <c r="F1599" s="2">
        <v>1</v>
      </c>
      <c r="H1599" s="2">
        <v>649</v>
      </c>
      <c r="I1599" s="2" t="inlineStr">
        <is>
          <t>$</t>
        </is>
      </c>
      <c r="J1599" s="2">
        <f>HYPERLINK("https://app.astro.lead-studio.pro/product/79d9bb07-808e-4da3-b0cf-5baf72d50d05")</f>
      </c>
    </row>
    <row r="1600" spans="1:10" customHeight="0">
      <c r="A1600" s="2" t="inlineStr">
        <is>
          <t>Ноутбуки</t>
        </is>
      </c>
      <c r="B1600" s="2" t="inlineStr">
        <is>
          <t>ASUS</t>
        </is>
      </c>
      <c r="C1600" s="2" t="inlineStr">
        <is>
          <t>90NB1441-M001L0</t>
        </is>
      </c>
      <c r="D1600" s="2" t="inlineStr">
        <is>
          <t>Ноутбук ASUS ProArt PZ13 HT5306QA-LX002W X Plus X1P 42 100/16Gb/SSD1Tb/13.3"/OLED/3K/Win11H (90NB1441-M001L0)</t>
        </is>
      </c>
      <c r="E1600" s="2">
        <v>11</v>
      </c>
      <c r="F1600" s="2">
        <v>11</v>
      </c>
      <c r="H1600" s="2">
        <v>1685</v>
      </c>
      <c r="I1600" s="2" t="inlineStr">
        <is>
          <t>$</t>
        </is>
      </c>
      <c r="J1600" s="2">
        <f>HYPERLINK("https://app.astro.lead-studio.pro/product/9b982987-055e-4cc1-9128-dcb5d49f4ddf")</f>
      </c>
    </row>
    <row r="1601" spans="1:10" customHeight="0">
      <c r="A1601" s="2" t="inlineStr">
        <is>
          <t>Ноутбуки</t>
        </is>
      </c>
      <c r="B1601" s="2" t="inlineStr">
        <is>
          <t>ASUS</t>
        </is>
      </c>
      <c r="C1601" s="2" t="inlineStr">
        <is>
          <t>90NB14E2-M00350</t>
        </is>
      </c>
      <c r="D1601" s="2" t="inlineStr">
        <is>
          <t>Ноутбук ASUS Vivobook 15 X1504VA-BQ1076 Core Ultra 5 125H/16Gb/SSD512Gb/15.6"/OLED/3K/Win11H/blue (90NB14E2-M00350)</t>
        </is>
      </c>
      <c r="E1601" s="2">
        <v>69</v>
      </c>
      <c r="F1601" s="2">
        <v>69</v>
      </c>
      <c r="H1601" s="2">
        <v>1135</v>
      </c>
      <c r="I1601" s="2" t="inlineStr">
        <is>
          <t>$</t>
        </is>
      </c>
      <c r="J1601" s="2">
        <f>HYPERLINK("https://app.astro.lead-studio.pro/product/00437943-4e8b-474c-82ce-42a31e6e0155")</f>
      </c>
    </row>
    <row r="1602" spans="1:10" customHeight="0">
      <c r="A1602" s="2" t="inlineStr">
        <is>
          <t>Ноутбуки</t>
        </is>
      </c>
      <c r="B1602" s="2" t="inlineStr">
        <is>
          <t>ASUS</t>
        </is>
      </c>
      <c r="C1602" s="2" t="inlineStr">
        <is>
          <t>90NB14F1-M001D0</t>
        </is>
      </c>
      <c r="D1602" s="2" t="inlineStr">
        <is>
          <t>Ноутбук ASUS Zenbook S 14 UX5406SA-PV039W Core Ultra 7 155H/16Gb/SSD1Tb/14.0"/OLED/3K/Win11H/grey (90NB14F1-M001D0)</t>
        </is>
      </c>
      <c r="E1602" s="2">
        <v>19</v>
      </c>
      <c r="F1602" s="2">
        <v>19</v>
      </c>
      <c r="H1602" s="2">
        <v>1935</v>
      </c>
      <c r="I1602" s="2" t="inlineStr">
        <is>
          <t>$</t>
        </is>
      </c>
      <c r="J1602" s="2">
        <f>HYPERLINK("https://app.astro.lead-studio.pro/product/e985b134-cf81-41a4-944b-dcdfa4510ea1")</f>
      </c>
    </row>
    <row r="1603" spans="1:10" customHeight="0">
      <c r="A1603" s="2" t="inlineStr">
        <is>
          <t>Ноутбуки</t>
        </is>
      </c>
      <c r="B1603" s="2" t="inlineStr">
        <is>
          <t>ASUS</t>
        </is>
      </c>
      <c r="C1603" s="2" t="inlineStr">
        <is>
          <t>90NB14Q2-M005E0</t>
        </is>
      </c>
      <c r="D1603" s="2" t="inlineStr">
        <is>
          <t>Ноутбук ASUS Vivobook S 15 S5507QA-MA006W X Elite X1E 78 100/16Gb/SSD1Tb/15.6"/OLED/3K/Win11H/silver (90NB14Q2-M005E0)</t>
        </is>
      </c>
      <c r="E1603" s="2">
        <v>20</v>
      </c>
      <c r="F1603" s="2">
        <v>20</v>
      </c>
      <c r="H1603" s="2">
        <v>1528</v>
      </c>
      <c r="I1603" s="2" t="inlineStr">
        <is>
          <t>$</t>
        </is>
      </c>
      <c r="J1603" s="2">
        <f>HYPERLINK("https://app.astro.lead-studio.pro/product/a727ae6a-9054-4143-9b40-c76e2eb0875e")</f>
      </c>
    </row>
    <row r="1604" spans="1:10" customHeight="0">
      <c r="A1604" s="2" t="inlineStr">
        <is>
          <t>Ноутбуки</t>
        </is>
      </c>
      <c r="B1604" s="2" t="inlineStr">
        <is>
          <t>Gigabyte</t>
        </is>
      </c>
      <c r="C1604" s="2" t="inlineStr">
        <is>
          <t>9KG-43KZ854SD</t>
        </is>
      </c>
      <c r="D1604" s="2" t="inlineStr">
        <is>
          <t>Ноутбук Gigabyte G6X 9KG Intel Core i7-13650HX/16GB/SSD1TB/RTX 4060 8GB/16.0"/IPS/FHD+/165Hz/NoOS (9KG-43KZ854SD)</t>
        </is>
      </c>
      <c r="E1604" s="2">
        <v>1</v>
      </c>
      <c r="F1604" s="2">
        <v>1</v>
      </c>
      <c r="H1604" s="2">
        <v>1519</v>
      </c>
      <c r="I1604" s="2" t="inlineStr">
        <is>
          <t>$</t>
        </is>
      </c>
      <c r="J1604" s="2">
        <f>HYPERLINK("https://app.astro.lead-studio.pro/product/9ea2460f-15c0-4938-9ce2-76165b9ee833")</f>
      </c>
    </row>
    <row r="1605" spans="1:10" customHeight="0">
      <c r="A1605" s="2" t="inlineStr">
        <is>
          <t>Ноутбуки</t>
        </is>
      </c>
      <c r="B1605" s="2" t="inlineStr">
        <is>
          <t>AORUS</t>
        </is>
      </c>
      <c r="C1605" s="2" t="inlineStr">
        <is>
          <t>9KG-43KZC54SD</t>
        </is>
      </c>
      <c r="D1605" s="2" t="inlineStr">
        <is>
          <t>Ноутбук AORUS 16X Core i7-13650HX/16Gb/SSD1Tb/RTX4060 8Gb/16.0"/IPS/WQXGA/Dos/gray (9KG-43KZC54SD)</t>
        </is>
      </c>
      <c r="E1605" s="2">
        <v>100</v>
      </c>
      <c r="F1605" s="2">
        <v>100</v>
      </c>
      <c r="H1605" s="2">
        <v>1530</v>
      </c>
      <c r="I1605" s="2" t="inlineStr">
        <is>
          <t>$</t>
        </is>
      </c>
      <c r="J1605" s="2">
        <f>HYPERLINK("https://app.astro.lead-studio.pro/product/df9ee6b1-1647-4b4d-b8b0-c9e1842b04a0")</f>
      </c>
    </row>
    <row r="1606" spans="1:10" customHeight="0">
      <c r="A1606" s="2" t="inlineStr">
        <is>
          <t>Ноутбуки</t>
        </is>
      </c>
      <c r="B1606" s="2" t="inlineStr">
        <is>
          <t>Gigabyte</t>
        </is>
      </c>
      <c r="C1606" s="2" t="inlineStr">
        <is>
          <t>9MG-42KZ853SD||bp</t>
        </is>
      </c>
      <c r="D1606" s="2" t="inlineStr">
        <is>
          <t>Ноутбук GIGABYTE G6X 9MG Core i7-13650HX/16Gb/SSD512Gb/RTX4050 6Gb /16.0"/IPS/WUXGA/Dos/grey (9MG-42KZ853SD)
</t>
        </is>
      </c>
      <c r="E1606" s="2">
        <v>5</v>
      </c>
      <c r="F1606" s="2">
        <v>5</v>
      </c>
      <c r="H1606" s="2">
        <v>989</v>
      </c>
      <c r="I1606" s="2" t="inlineStr">
        <is>
          <t>$</t>
        </is>
      </c>
      <c r="J1606" s="2">
        <f>HYPERLINK("https://app.astro.lead-studio.pro/product/12d4339d-9582-4c7b-aff7-0956f5433683")</f>
      </c>
    </row>
    <row r="1607" spans="1:10" customHeight="0">
      <c r="A1607" s="2" t="inlineStr">
        <is>
          <t>Ноутбуки</t>
        </is>
      </c>
      <c r="B1607" s="2" t="inlineStr">
        <is>
          <t>MSI</t>
        </is>
      </c>
      <c r="C1607" s="2" t="inlineStr">
        <is>
          <t>9S7-159621-017</t>
        </is>
      </c>
      <c r="D1607" s="2" t="inlineStr">
        <is>
          <t>Ноутбук MSI Summit E16 AI Studio A1VETG-017RU Intel Core Ultra 7 155H/16Gb/SSD1Tb/RTX 4050 6Gb /16"/IPS/QHD+/165Hz/Win11Pro/black (9S7-159621-017)</t>
        </is>
      </c>
      <c r="E1607" s="2">
        <v>35</v>
      </c>
      <c r="F1607" s="2">
        <v>35</v>
      </c>
      <c r="H1607" s="2">
        <v>2069</v>
      </c>
      <c r="I1607" s="2" t="inlineStr">
        <is>
          <t>$</t>
        </is>
      </c>
      <c r="J1607" s="2">
        <f>HYPERLINK("https://app.astro.lead-studio.pro/product/6fd1a882-33fd-4529-8d02-6f1ef5eb7304")</f>
      </c>
    </row>
    <row r="1608" spans="1:10" customHeight="0">
      <c r="A1608" s="2" t="inlineStr">
        <is>
          <t>Ноутбуки</t>
        </is>
      </c>
      <c r="B1608" s="2" t="inlineStr">
        <is>
          <t>MSI</t>
        </is>
      </c>
      <c r="C1608" s="2" t="inlineStr">
        <is>
          <t>9S7-15A121-035</t>
        </is>
      </c>
      <c r="D1608" s="2" t="inlineStr">
        <is>
          <t>Ноутбук MSI Prestige 16 AI Evo B1MG-035RU Intel Core Ultra 7 155H/16Gb/SSD1Tb/16"/IPS/QHD+/60Hz/Win11/grey (9S7-15A121-035)</t>
        </is>
      </c>
      <c r="E1608" s="2">
        <v>19</v>
      </c>
      <c r="F1608" s="2">
        <v>19</v>
      </c>
      <c r="H1608" s="2">
        <v>1624</v>
      </c>
      <c r="I1608" s="2" t="inlineStr">
        <is>
          <t>$</t>
        </is>
      </c>
      <c r="J1608" s="2">
        <f>HYPERLINK("https://app.astro.lead-studio.pro/product/2a647fd0-19af-43a6-8772-f2e7f470d83b")</f>
      </c>
    </row>
    <row r="1609" spans="1:10" customHeight="0">
      <c r="A1609" s="2" t="inlineStr">
        <is>
          <t>Ноутбуки</t>
        </is>
      </c>
      <c r="B1609" s="2" t="inlineStr">
        <is>
          <t>MSI</t>
        </is>
      </c>
      <c r="C1609" s="2" t="inlineStr">
        <is>
          <t>9S7-15A211-080</t>
        </is>
      </c>
      <c r="D1609" s="2" t="inlineStr">
        <is>
          <t>Ноутбук MSI  Prestige 16 AI Studio B1VEG-080RU Core i7-155H/16Gb/SSD1Tb/RTX 4050/16"/IPS/QHD+//Win11/gray (9S7-15A211-080)</t>
        </is>
      </c>
      <c r="E1609" s="2">
        <v>24</v>
      </c>
      <c r="F1609" s="2">
        <v>24</v>
      </c>
      <c r="H1609" s="2">
        <v>1990</v>
      </c>
      <c r="I1609" s="2" t="inlineStr">
        <is>
          <t>$</t>
        </is>
      </c>
      <c r="J1609" s="2">
        <f>HYPERLINK("https://app.astro.lead-studio.pro/product/ad279a9a-b942-4eed-9225-a4a5bb4fcc42")</f>
      </c>
    </row>
    <row r="1610" spans="1:10" customHeight="0">
      <c r="A1610" s="2" t="inlineStr">
        <is>
          <t>Ноутбуки</t>
        </is>
      </c>
      <c r="B1610" s="2" t="inlineStr">
        <is>
          <t>MSI</t>
        </is>
      </c>
      <c r="C1610" s="2" t="inlineStr">
        <is>
          <t>9S7-15F312-062</t>
        </is>
      </c>
      <c r="D1610" s="2" t="inlineStr">
        <is>
          <t>Ноутбук MSI Stealth 16 AI Studio A1VIG-062RU Core i9-185H/32Gb/SSD2Tb/RTX 4090/16"/IPS/UHD+/Win11/blue (9S7-15F312-062)</t>
        </is>
      </c>
      <c r="E1610" s="2">
        <v>7</v>
      </c>
      <c r="F1610" s="2">
        <v>7</v>
      </c>
      <c r="H1610" s="2">
        <v>3894</v>
      </c>
      <c r="I1610" s="2" t="inlineStr">
        <is>
          <t>$</t>
        </is>
      </c>
      <c r="J1610" s="2">
        <f>HYPERLINK("https://app.astro.lead-studio.pro/product/9997a276-9d8e-4a36-a02e-cad01955cd54")</f>
      </c>
    </row>
    <row r="1611" spans="1:10" customHeight="0">
      <c r="A1611" s="2" t="inlineStr">
        <is>
          <t>Ноутбуки</t>
        </is>
      </c>
      <c r="B1611" s="2" t="inlineStr">
        <is>
          <t>MSI</t>
        </is>
      </c>
      <c r="C1611" s="2" t="inlineStr">
        <is>
          <t>9S7-15P311-018</t>
        </is>
      </c>
      <c r="D1611" s="2" t="inlineStr">
        <is>
          <t>Ноутбук MSI Pulse 16 AI C1VGKG-018RU Core Ultra 7 155H/16Gb/SSD1Tb/RTX 4070/16"/IPS/QHD+/Win/black (9S7-15P311-018)</t>
        </is>
      </c>
      <c r="E1611" s="2">
        <v>51</v>
      </c>
      <c r="F1611" s="2">
        <v>51</v>
      </c>
      <c r="H1611" s="2">
        <v>1878</v>
      </c>
      <c r="I1611" s="2" t="inlineStr">
        <is>
          <t>$</t>
        </is>
      </c>
      <c r="J1611" s="2">
        <f>HYPERLINK("https://app.astro.lead-studio.pro/product/f63aa99b-43ca-4674-afa9-93bc61d85d36")</f>
      </c>
    </row>
    <row r="1612" spans="1:10" customHeight="0">
      <c r="A1612" s="2" t="inlineStr">
        <is>
          <t>Ноутбуки</t>
        </is>
      </c>
      <c r="B1612" s="2" t="inlineStr">
        <is>
          <t>MSI</t>
        </is>
      </c>
      <c r="C1612" s="2" t="inlineStr">
        <is>
          <t>9S7-15S122-087||bp</t>
        </is>
      </c>
      <c r="D1612" s="2" t="inlineStr">
        <is>
          <t>Ноутбук MSI Bad Pack Ноутбук MSI Modern 15 F13MG-087XRU Core i5-1335U/16Gb/SSD1Tb/UMA/15.6"/IPS/FHD/NoOS/Urban Silver (9S7-15S122-087)
 bp</t>
        </is>
      </c>
      <c r="E1612" s="2">
        <v>6</v>
      </c>
      <c r="F1612" s="2">
        <v>6</v>
      </c>
      <c r="H1612" s="2">
        <v>669</v>
      </c>
      <c r="I1612" s="2" t="inlineStr">
        <is>
          <t>$</t>
        </is>
      </c>
      <c r="J1612" s="2">
        <f>HYPERLINK("https://app.astro.lead-studio.pro/product/222056d7-9be7-4cc1-9f43-f007d2b6458f")</f>
      </c>
    </row>
    <row r="1613" spans="1:10" customHeight="0">
      <c r="A1613" s="2" t="inlineStr">
        <is>
          <t>Ноутбуки</t>
        </is>
      </c>
      <c r="B1613" s="2" t="inlineStr">
        <is>
          <t>MSI</t>
        </is>
      </c>
      <c r="C1613" s="2" t="inlineStr">
        <is>
          <t>9S7-15S122-201</t>
        </is>
      </c>
      <c r="D1613" s="2" t="inlineStr">
        <is>
          <t>Ноутбук MSI Modern 15 F13MG-201XRU Intel Core i5-1335U/16Gb/SSD512Gb/15.6"/IPS/FHD/60Hz/NoOS/Urban Silver (9S7-15S122-201)</t>
        </is>
      </c>
      <c r="E1613" s="2">
        <v>36</v>
      </c>
      <c r="F1613" s="2">
        <v>36</v>
      </c>
      <c r="H1613" s="2">
        <v>639</v>
      </c>
      <c r="I1613" s="2" t="inlineStr">
        <is>
          <t>$</t>
        </is>
      </c>
      <c r="J1613" s="2">
        <f>HYPERLINK("https://app.astro.lead-studio.pro/product/e1b73bb7-7094-444e-8b49-15585f6427a7")</f>
      </c>
    </row>
    <row r="1614" spans="1:10" customHeight="0">
      <c r="A1614" s="2" t="inlineStr">
        <is>
          <t>Ноутбуки</t>
        </is>
      </c>
      <c r="B1614" s="2" t="inlineStr">
        <is>
          <t>MSI</t>
        </is>
      </c>
      <c r="C1614" s="2" t="inlineStr">
        <is>
          <t>9S7-16R831-1292</t>
        </is>
      </c>
      <c r="D1614" s="2" t="inlineStr">
        <is>
          <t>Ноутбук MSI Thin 15 B12VE-1292RU Core i7-12650H/16Gb/SSD512Gb/RTX 4050/15.6"/IPS/FHD/Win11/gray (9S7-16R831-1292).</t>
        </is>
      </c>
      <c r="E1614" s="2">
        <v>75</v>
      </c>
      <c r="F1614" s="2">
        <v>75</v>
      </c>
      <c r="H1614" s="2">
        <v>1119</v>
      </c>
      <c r="I1614" s="2" t="inlineStr">
        <is>
          <t>$</t>
        </is>
      </c>
      <c r="J1614" s="2">
        <f>HYPERLINK("https://app.astro.lead-studio.pro/product/09797ffb-4023-408f-9dee-c3376aa88e21")</f>
      </c>
    </row>
    <row r="1615" spans="1:10" customHeight="0">
      <c r="A1615" s="2" t="inlineStr">
        <is>
          <t>Ноутбуки</t>
        </is>
      </c>
      <c r="B1615" s="2" t="inlineStr">
        <is>
          <t>MSI</t>
        </is>
      </c>
      <c r="C1615" s="2" t="inlineStr">
        <is>
          <t>9S7-16R831-1294</t>
        </is>
      </c>
      <c r="D1615" s="2" t="inlineStr">
        <is>
          <t>Ноутбук MSI Thin 15 B12VE-1294XRU Intel Core i5-12450H/16Gb/SSD512Gb/RTX 4050 6Gb/15.6"/IPS/FHD/144Hz/NoOS/grey (9S7-16R831-1294)</t>
        </is>
      </c>
      <c r="E1615" s="2">
        <v>100</v>
      </c>
      <c r="F1615" s="2">
        <v>100</v>
      </c>
      <c r="H1615" s="2">
        <v>971</v>
      </c>
      <c r="I1615" s="2" t="inlineStr">
        <is>
          <t>$</t>
        </is>
      </c>
      <c r="J1615" s="2">
        <f>HYPERLINK("https://app.astro.lead-studio.pro/product/6524f918-7457-446c-adeb-a0a9b0fff7bb")</f>
      </c>
    </row>
    <row r="1616" spans="1:10" customHeight="0">
      <c r="A1616" s="2" t="inlineStr">
        <is>
          <t>Ноутбуки</t>
        </is>
      </c>
      <c r="B1616" s="2" t="inlineStr">
        <is>
          <t>MSI</t>
        </is>
      </c>
      <c r="C1616" s="2" t="inlineStr">
        <is>
          <t>9S7-16R831-1294||bp</t>
        </is>
      </c>
      <c r="D1616" s="2" t="inlineStr">
        <is>
          <t>Ноутбук MSI Bad Pack Ноутбук MSI Thin 15 B12VE-1294XRU Intel Core i5-12450H/16Gb/SSD512Gb/RTX 4050 6Gb/15.6"/IPS/FHD/144Hz/NoOS/grey (9S7-16R831-1294)</t>
        </is>
      </c>
      <c r="E1616" s="2">
        <v>1</v>
      </c>
      <c r="F1616" s="2">
        <v>1</v>
      </c>
      <c r="H1616" s="2">
        <v>1048</v>
      </c>
      <c r="I1616" s="2" t="inlineStr">
        <is>
          <t>$</t>
        </is>
      </c>
      <c r="J1616" s="2">
        <f>HYPERLINK("https://app.astro.lead-studio.pro/product/3cdbbaca-6eea-41bd-beca-c14eaecbfd85")</f>
      </c>
    </row>
    <row r="1617" spans="1:10" customHeight="0">
      <c r="A1617" s="2" t="inlineStr">
        <is>
          <t>Ноутбуки</t>
        </is>
      </c>
      <c r="B1617" s="2" t="inlineStr">
        <is>
          <t>MSI</t>
        </is>
      </c>
      <c r="C1617" s="2" t="inlineStr">
        <is>
          <t>9S7-16R831-2632||bp</t>
        </is>
      </c>
      <c r="D1617" s="2" t="inlineStr">
        <is>
          <t>Ноутбук MSI Bad Pack Ноутбук MSI Thin 15 B12UC-2632XRU Intel Core i5-12450H/16Gb/SSD512Gb/RTX 3050 4Gb/15.6"/IPS/FHD/144Hz/NoOS/Cosmos Gray (9S7-16R831-2632) bp</t>
        </is>
      </c>
      <c r="E1617" s="2">
        <v>1</v>
      </c>
      <c r="F1617" s="2">
        <v>1</v>
      </c>
      <c r="H1617" s="2">
        <v>803</v>
      </c>
      <c r="I1617" s="2" t="inlineStr">
        <is>
          <t>$</t>
        </is>
      </c>
      <c r="J1617" s="2">
        <f>HYPERLINK("https://app.astro.lead-studio.pro/product/78405343-42ef-430f-87f0-68c9489b04f2")</f>
      </c>
    </row>
    <row r="1618" spans="1:10" customHeight="0">
      <c r="A1618" s="2" t="inlineStr">
        <is>
          <t>Ноутбуки</t>
        </is>
      </c>
      <c r="B1618" s="2" t="inlineStr">
        <is>
          <t>MSI</t>
        </is>
      </c>
      <c r="C1618" s="2" t="inlineStr">
        <is>
          <t>9S7-16RK11-405</t>
        </is>
      </c>
      <c r="D1618" s="2" t="inlineStr">
        <is>
          <t>Ноутбук MSI Thin A15 B7UC-405XRU Ryzen 5 7535HS/16Gb/SSD1024Gb/RTX3050 4Gb/IPS/FHD/144Hz/NoOS/Cosmos Gray (9S7-16RK11-405)</t>
        </is>
      </c>
      <c r="E1618" s="2">
        <v>100</v>
      </c>
      <c r="F1618" s="2">
        <v>100</v>
      </c>
      <c r="H1618" s="2">
        <v>933</v>
      </c>
      <c r="I1618" s="2" t="inlineStr">
        <is>
          <t>$</t>
        </is>
      </c>
      <c r="J1618" s="2">
        <f>HYPERLINK("https://app.astro.lead-studio.pro/product/9316f8d6-b69c-414a-8d86-ac89dc64d273")</f>
      </c>
    </row>
    <row r="1619" spans="1:10" customHeight="0">
      <c r="A1619" s="2" t="inlineStr">
        <is>
          <t>Ноутбуки</t>
        </is>
      </c>
      <c r="B1619" s="2" t="inlineStr">
        <is>
          <t>MSI</t>
        </is>
      </c>
      <c r="C1619" s="2" t="inlineStr">
        <is>
          <t>9S7-17L541-1428||bp</t>
        </is>
      </c>
      <c r="D1619" s="2" t="inlineStr">
        <is>
          <t>Ноутбук MSI Bad Pack Ноутбук MSI Katana 17 B13UCX-1428XRU Intel Core i5-13420H/16Gb/SSD512Gb/RTX 2050 4Gb/17.3"/IPS/FHD/144Hz/NoOS/black (9S7-17L541-1428)</t>
        </is>
      </c>
      <c r="E1619" s="2">
        <v>1</v>
      </c>
      <c r="F1619" s="2">
        <v>1</v>
      </c>
      <c r="H1619" s="2">
        <v>894</v>
      </c>
      <c r="I1619" s="2" t="inlineStr">
        <is>
          <t>$</t>
        </is>
      </c>
      <c r="J1619" s="2">
        <f>HYPERLINK("https://app.astro.lead-studio.pro/product/eb85fbcd-19b0-4dcd-8eca-a756a963d600")</f>
      </c>
    </row>
    <row r="1620" spans="1:10" customHeight="0">
      <c r="A1620" s="2" t="inlineStr">
        <is>
          <t>Ноутбуки</t>
        </is>
      </c>
      <c r="B1620" s="2" t="inlineStr">
        <is>
          <t>MSI</t>
        </is>
      </c>
      <c r="C1620" s="2" t="inlineStr">
        <is>
          <t>9S7-17T311-023</t>
        </is>
      </c>
      <c r="D1620" s="2" t="inlineStr">
        <is>
          <t>Ноутбук MSI Pulse 17 AI C1VGKG-023RU Core Ultra 9 185H/16Gb/SSD1Tb/RTX 4070/17"/IPS/QHD+/Win/black (9S7-17T311-023)</t>
        </is>
      </c>
      <c r="E1620" s="2">
        <v>8</v>
      </c>
      <c r="F1620" s="2">
        <v>8</v>
      </c>
      <c r="H1620" s="2">
        <v>2174</v>
      </c>
      <c r="I1620" s="2" t="inlineStr">
        <is>
          <t>$</t>
        </is>
      </c>
      <c r="J1620" s="2">
        <f>HYPERLINK("https://app.astro.lead-studio.pro/product/cb0a8eaf-b76b-476e-99b2-2f2f7d414a10")</f>
      </c>
    </row>
    <row r="1621" spans="1:10" customHeight="0">
      <c r="A1621" s="2" t="inlineStr">
        <is>
          <t>Ноутбуки</t>
        </is>
      </c>
      <c r="B1621" s="2" t="inlineStr">
        <is>
          <t>MSI</t>
        </is>
      </c>
      <c r="C1621" s="2" t="inlineStr">
        <is>
          <t>9S7-17T311-024||bp</t>
        </is>
      </c>
      <c r="D1621" s="2" t="inlineStr">
        <is>
          <t>Ноутбук MSI Bad Pack Ноутбук MSI Pulse 17 AI C1VGKG-024RU Intel Core Ultra 7 155H/16Gb/SSD1Tb/RTX 4070 8Gb/17"/IPS/QHD+/240Hz/Win11/black (9S7-17T311-024) bp</t>
        </is>
      </c>
      <c r="E1621" s="2">
        <v>1</v>
      </c>
      <c r="F1621" s="2">
        <v>1</v>
      </c>
      <c r="H1621" s="2">
        <v>2084</v>
      </c>
      <c r="I1621" s="2" t="inlineStr">
        <is>
          <t>$</t>
        </is>
      </c>
      <c r="J1621" s="2">
        <f>HYPERLINK("https://app.astro.lead-studio.pro/product/d8b5aad0-61ea-4d55-94b7-d5c99ebc2d15")</f>
      </c>
    </row>
    <row r="1622" spans="1:10" customHeight="0">
      <c r="A1622" s="2" t="inlineStr">
        <is>
          <t>Ноутбуки</t>
        </is>
      </c>
      <c r="B1622" s="2" t="inlineStr">
        <is>
          <t>AORUS</t>
        </is>
      </c>
      <c r="C1622" s="2" t="inlineStr">
        <is>
          <t>9SG-43KZC54SD</t>
        </is>
      </c>
      <c r="D1622" s="2" t="inlineStr">
        <is>
          <t>Ноутбук AORUS 16X Core i7-13650HX/16Gb/SSD1Tb/16.0"/RTX 4070/IPS/WQXGA/165Hz/noOS (9SG-43KZC54SD)</t>
        </is>
      </c>
      <c r="E1622" s="2">
        <v>41</v>
      </c>
      <c r="F1622" s="2">
        <v>41</v>
      </c>
      <c r="H1622" s="2">
        <v>1980</v>
      </c>
      <c r="I1622" s="2" t="inlineStr">
        <is>
          <t>$</t>
        </is>
      </c>
      <c r="J1622" s="2">
        <f>HYPERLINK("https://app.astro.lead-studio.pro/product/fc7187a5-e2be-45cc-bb24-55fa94484fe8")</f>
      </c>
    </row>
    <row r="1623" spans="1:10" customHeight="0">
      <c r="A1623" s="2" t="inlineStr">
        <is>
          <t>Ноутбуки</t>
        </is>
      </c>
      <c r="B1623" s="2" t="inlineStr">
        <is>
          <t>Colorful</t>
        </is>
      </c>
      <c r="C1623" s="2" t="inlineStr">
        <is>
          <t>A10205400041</t>
        </is>
      </c>
      <c r="D1623" s="2" t="inlineStr">
        <is>
          <t>Ноутбук Colorful EVOL X15 AT 23H1-HD55D16512A-G-RU-KA Intel Core i5-12500H/16Gb/SSD512Gb/RTX 4050 6G/15.6"/IPS/FHD/144Hz/Win11/Grey (A10205400041)</t>
        </is>
      </c>
      <c r="E1623" s="2">
        <v>47</v>
      </c>
      <c r="F1623" s="2">
        <v>47</v>
      </c>
      <c r="H1623" s="2">
        <v>1006</v>
      </c>
      <c r="I1623" s="2" t="inlineStr">
        <is>
          <t>$</t>
        </is>
      </c>
      <c r="J1623" s="2">
        <f>HYPERLINK("https://app.astro.lead-studio.pro/product/2c6c7328-d225-4e15-9706-15dd1492aeb8")</f>
      </c>
    </row>
    <row r="1624" spans="1:10" customHeight="0">
      <c r="A1624" s="2" t="inlineStr">
        <is>
          <t>Ноутбуки</t>
        </is>
      </c>
      <c r="B1624" s="2" t="inlineStr">
        <is>
          <t>Colorful</t>
        </is>
      </c>
      <c r="C1624" s="2" t="inlineStr">
        <is>
          <t>A10205400042</t>
        </is>
      </c>
      <c r="D1624" s="2" t="inlineStr">
        <is>
          <t>Ноутбук Colorful EVOL X15 AT 23H1-HD55D16512A-G-RU-KA Intel Core i5-12450H/16Gb/SSD512Gb/RTX 4060 8G/15.6"/IPS/FHD/144Hz/Win11/Grey (A10205400042)</t>
        </is>
      </c>
      <c r="E1624" s="2">
        <v>44</v>
      </c>
      <c r="F1624" s="2">
        <v>44</v>
      </c>
      <c r="H1624" s="2">
        <v>1101</v>
      </c>
      <c r="I1624" s="2" t="inlineStr">
        <is>
          <t>$</t>
        </is>
      </c>
      <c r="J1624" s="2">
        <f>HYPERLINK("https://app.astro.lead-studio.pro/product/7f9b6163-bb41-47d5-998e-f762604c0ca9")</f>
      </c>
    </row>
    <row r="1625" spans="1:10" customHeight="0">
      <c r="A1625" s="2" t="inlineStr">
        <is>
          <t>Ноутбуки</t>
        </is>
      </c>
      <c r="B1625" s="2" t="inlineStr">
        <is>
          <t>Colorful</t>
        </is>
      </c>
      <c r="C1625" s="2" t="inlineStr">
        <is>
          <t>A10205400043</t>
        </is>
      </c>
      <c r="D1625" s="2" t="inlineStr">
        <is>
          <t>Ноутбук Colorful EVOL X15 AT 23H1-HJ76B16512E-G-RU-KA Intel Core i7-13620H/16Gb/SSD512Gb/RTX 4060 8G/15.6"/IPS/QHD/165Hz/Win11/Grey (A10205400043)</t>
        </is>
      </c>
      <c r="E1625" s="2">
        <v>54</v>
      </c>
      <c r="F1625" s="2">
        <v>54</v>
      </c>
      <c r="H1625" s="2">
        <v>1238</v>
      </c>
      <c r="I1625" s="2" t="inlineStr">
        <is>
          <t>$</t>
        </is>
      </c>
      <c r="J1625" s="2">
        <f>HYPERLINK("https://app.astro.lead-studio.pro/product/a0262877-d8eb-4431-abdc-9985c999a645")</f>
      </c>
    </row>
    <row r="1626" spans="1:10" customHeight="0">
      <c r="A1626" s="2" t="inlineStr">
        <is>
          <t>Ноутбуки</t>
        </is>
      </c>
      <c r="B1626" s="2" t="inlineStr">
        <is>
          <t>Colorful</t>
        </is>
      </c>
      <c r="C1626" s="2" t="inlineStr">
        <is>
          <t>A10205400051</t>
        </is>
      </c>
      <c r="D1626" s="2" t="inlineStr">
        <is>
          <t>Ноутбук Colorful EVOL P15 24 Intel Core i5-12500H/16Gb/SSD512Gb/RTX4050 6Gb/15.6"/IPS/FHD/144Hz/NoOS/Grey (A10205400051)</t>
        </is>
      </c>
      <c r="E1626" s="2">
        <v>1</v>
      </c>
      <c r="F1626" s="2">
        <v>1</v>
      </c>
      <c r="H1626" s="2">
        <v>920</v>
      </c>
      <c r="I1626" s="2" t="inlineStr">
        <is>
          <t>$</t>
        </is>
      </c>
      <c r="J1626" s="2">
        <f>HYPERLINK("https://app.astro.lead-studio.pro/product/8617fa8a-a8c5-4444-8b1c-3bb365a4742d")</f>
      </c>
    </row>
    <row r="1627" spans="1:10" customHeight="0">
      <c r="A1627" s="2" t="inlineStr">
        <is>
          <t>Ноутбуки</t>
        </is>
      </c>
      <c r="B1627" s="2" t="inlineStr">
        <is>
          <t>Colorful</t>
        </is>
      </c>
      <c r="C1627" s="2" t="inlineStr">
        <is>
          <t>A10205400053||bp</t>
        </is>
      </c>
      <c r="D1627" s="2" t="inlineStr">
        <is>
          <t>Ноутбук Colorful Bad Pack Ноутбук Colorful EVOL P15 24 Intel Core i5-12500H/16Gb/SSD512Gb/RTX4060 8Gb/15.6"/IPS/FHD/144Hz/Win11/Grey (A10205400053) bp</t>
        </is>
      </c>
      <c r="E1627" s="2">
        <v>1</v>
      </c>
      <c r="F1627" s="2">
        <v>1</v>
      </c>
      <c r="H1627" s="2">
        <v>980</v>
      </c>
      <c r="I1627" s="2" t="inlineStr">
        <is>
          <t>$</t>
        </is>
      </c>
      <c r="J1627" s="2">
        <f>HYPERLINK("https://app.astro.lead-studio.pro/product/ef050398-f005-4a88-b53d-b6ecd1ba34f7")</f>
      </c>
    </row>
    <row r="1628" spans="1:10" customHeight="0">
      <c r="A1628" s="2" t="inlineStr">
        <is>
          <t>Ноутбуки</t>
        </is>
      </c>
      <c r="B1628" s="2" t="inlineStr">
        <is>
          <t>Colorful</t>
        </is>
      </c>
      <c r="C1628" s="2" t="inlineStr">
        <is>
          <t>A10205400054</t>
        </is>
      </c>
      <c r="D1628" s="2" t="inlineStr">
        <is>
          <t>Ноутбук Colorful P15 24 Intel Core i5-13500H/16Gb/SSD512Gb/RTX 4060 8Gb/15.6"/IPS/FHD/144Hz/NoOS/grey (A10205400054)</t>
        </is>
      </c>
      <c r="E1628" s="2">
        <v>82</v>
      </c>
      <c r="F1628" s="2">
        <v>82</v>
      </c>
      <c r="H1628" s="2">
        <v>1078</v>
      </c>
      <c r="I1628" s="2" t="inlineStr">
        <is>
          <t>$</t>
        </is>
      </c>
      <c r="J1628" s="2">
        <f>HYPERLINK("https://app.astro.lead-studio.pro/product/43948545-8793-4c01-a68a-de91b65643f1")</f>
      </c>
    </row>
    <row r="1629" spans="1:10" customHeight="0">
      <c r="A1629" s="2" t="inlineStr">
        <is>
          <t>Ноутбуки</t>
        </is>
      </c>
      <c r="B1629" s="2" t="inlineStr">
        <is>
          <t>Colorful</t>
        </is>
      </c>
      <c r="C1629" s="2" t="inlineStr">
        <is>
          <t>A10205400055</t>
        </is>
      </c>
      <c r="D1629" s="2" t="inlineStr">
        <is>
          <t>Ноутбук Colorful P15 24 Intel Core i5-13500H/16Gb/SSD512Gb/RTX 4060 8Gb/15.6"/IPS/FHD/144Hz/Win11/grey (A10205400055)</t>
        </is>
      </c>
      <c r="E1629" s="2">
        <v>78</v>
      </c>
      <c r="F1629" s="2">
        <v>78</v>
      </c>
      <c r="H1629" s="2">
        <v>1098</v>
      </c>
      <c r="I1629" s="2" t="inlineStr">
        <is>
          <t>$</t>
        </is>
      </c>
      <c r="J1629" s="2">
        <f>HYPERLINK("https://app.astro.lead-studio.pro/product/0b6fb804-66f5-46ad-b92d-ea6335454370")</f>
      </c>
    </row>
    <row r="1630" spans="1:10" customHeight="0">
      <c r="A1630" s="2" t="inlineStr">
        <is>
          <t>Ноутбуки</t>
        </is>
      </c>
      <c r="B1630" s="2" t="inlineStr">
        <is>
          <t>Colorful</t>
        </is>
      </c>
      <c r="C1630" s="2" t="inlineStr">
        <is>
          <t>A10205400059</t>
        </is>
      </c>
      <c r="D1630" s="2" t="inlineStr">
        <is>
          <t>Ноутбук Colorful EVOL X16 PRO 23-HG76B16512H-G-RUA-KA Intel Core i7-13700H/16Gb/SSD512Gb/RTX4060 8Gb/16"/IPS/WQXGA/240Hz/NoOS/Black (A10205400059)</t>
        </is>
      </c>
      <c r="E1630" s="2">
        <v>40</v>
      </c>
      <c r="F1630" s="2">
        <v>40</v>
      </c>
      <c r="H1630" s="2">
        <v>1440</v>
      </c>
      <c r="I1630" s="2" t="inlineStr">
        <is>
          <t>$</t>
        </is>
      </c>
      <c r="J1630" s="2">
        <f>HYPERLINK("https://app.astro.lead-studio.pro/product/420eb9ce-146a-457b-b4b1-ed408a84018e")</f>
      </c>
    </row>
    <row r="1631" spans="1:10" customHeight="0">
      <c r="A1631" s="2" t="inlineStr">
        <is>
          <t>Ноутбуки</t>
        </is>
      </c>
      <c r="B1631" s="2" t="inlineStr">
        <is>
          <t>Colorful</t>
        </is>
      </c>
      <c r="C1631" s="2" t="inlineStr">
        <is>
          <t>A10205400059||bp</t>
        </is>
      </c>
      <c r="D1631" s="2" t="inlineStr">
        <is>
          <t>Ноутбук Colorful Bad Pack Ноутбук Colorful EVOL X16 Pro 23 Intel Core i7-13700H/16Gb/SSD512Gb/RTX4060 8Gb/16"/IPS/QHD+/240Hz/NoOS/Black (A10205400059)</t>
        </is>
      </c>
      <c r="E1631" s="2">
        <v>1</v>
      </c>
      <c r="F1631" s="2">
        <v>1</v>
      </c>
      <c r="H1631" s="2">
        <v>1395</v>
      </c>
      <c r="I1631" s="2" t="inlineStr">
        <is>
          <t>$</t>
        </is>
      </c>
      <c r="J1631" s="2">
        <f>HYPERLINK("https://app.astro.lead-studio.pro/product/9f500913-d143-4c67-a719-aeadfbce381c")</f>
      </c>
    </row>
    <row r="1632" spans="1:10" customHeight="0">
      <c r="A1632" s="2" t="inlineStr">
        <is>
          <t>Ноутбуки</t>
        </is>
      </c>
      <c r="B1632" s="2" t="inlineStr">
        <is>
          <t>Colorful</t>
        </is>
      </c>
      <c r="C1632" s="2" t="inlineStr">
        <is>
          <t>A10205400060</t>
        </is>
      </c>
      <c r="D1632" s="2" t="inlineStr">
        <is>
          <t>Ноутбук Colorful EVOL X16 PRO 23-HG76B16512H-G-RU-KA Intel Core i7-13700H/16Gb/SSD512Gb/RTX4060 8Gb/16"/IPS/WQXGA/240Hz/Win 11/Black (A10205400060)</t>
        </is>
      </c>
      <c r="E1632" s="2">
        <v>35</v>
      </c>
      <c r="F1632" s="2">
        <v>35</v>
      </c>
      <c r="H1632" s="2">
        <v>1478</v>
      </c>
      <c r="I1632" s="2" t="inlineStr">
        <is>
          <t>$</t>
        </is>
      </c>
      <c r="J1632" s="2">
        <f>HYPERLINK("https://app.astro.lead-studio.pro/product/52c7caa8-01a8-4d13-9cc3-ab5ed5389589")</f>
      </c>
    </row>
    <row r="1633" spans="1:10" customHeight="0">
      <c r="A1633" s="2" t="inlineStr">
        <is>
          <t>Ноутбуки</t>
        </is>
      </c>
      <c r="B1633" s="2" t="inlineStr">
        <is>
          <t>Colorful</t>
        </is>
      </c>
      <c r="C1633" s="2" t="inlineStr">
        <is>
          <t>A10205400061</t>
        </is>
      </c>
      <c r="D1633" s="2" t="inlineStr">
        <is>
          <t>Ноутбук Colorful EVOL X17 PRO MAX-HE78B3201TE-G-RU-KA Intel Core i7-13700HX/32Gb/SSD1Tb/RTX4080 12Gb/17.3"/IPS/QHD/165Hz/Win 11/Black (A10205400061)</t>
        </is>
      </c>
      <c r="E1633" s="2">
        <v>1</v>
      </c>
      <c r="F1633" s="2">
        <v>1</v>
      </c>
      <c r="H1633" s="2">
        <v>2611</v>
      </c>
      <c r="I1633" s="2" t="inlineStr">
        <is>
          <t>$</t>
        </is>
      </c>
      <c r="J1633" s="2">
        <f>HYPERLINK("https://app.astro.lead-studio.pro/product/58f19299-6e12-4ef2-91dd-02546ef88f9a")</f>
      </c>
    </row>
    <row r="1634" spans="1:10" customHeight="0">
      <c r="A1634" s="2" t="inlineStr">
        <is>
          <t>Ноутбуки</t>
        </is>
      </c>
      <c r="B1634" s="2" t="inlineStr">
        <is>
          <t>Colorful</t>
        </is>
      </c>
      <c r="C1634" s="2" t="inlineStr">
        <is>
          <t>A10205400062</t>
        </is>
      </c>
      <c r="D1634" s="2" t="inlineStr">
        <is>
          <t>Ноутбук Colorful EVOL X17 Pro Max-HE99B3202TE-G-RU-KA Intel Core i9-13900HX/32Gb/SSD2Tb/RTX4090 16Gb/17.3"/IPS/QHD/165Hz/Win11/Black (A10205400062)</t>
        </is>
      </c>
      <c r="E1634" s="2">
        <v>13</v>
      </c>
      <c r="F1634" s="2">
        <v>13</v>
      </c>
      <c r="H1634" s="2">
        <v>3313</v>
      </c>
      <c r="I1634" s="2" t="inlineStr">
        <is>
          <t>$</t>
        </is>
      </c>
      <c r="J1634" s="2">
        <f>HYPERLINK("https://app.astro.lead-studio.pro/product/250d5550-4a75-4e48-a4bd-66393a59ad0a")</f>
      </c>
    </row>
    <row r="1635" spans="1:10" customHeight="0">
      <c r="A1635" s="2" t="inlineStr">
        <is>
          <t>Ноутбуки</t>
        </is>
      </c>
      <c r="B1635" s="2" t="inlineStr">
        <is>
          <t>Colorful</t>
        </is>
      </c>
      <c r="C1635" s="2" t="inlineStr">
        <is>
          <t>A10205400063</t>
        </is>
      </c>
      <c r="D1635" s="2" t="inlineStr">
        <is>
          <t>Ноутбук Colorful EVOL X17 PRO MAX-HQ99B3202TE-G-RU-KA Intel Core i9-14900HX/32Gb/SSD2Tb/RTX4090 16Gb/17.3"/IPS/QHD/165Hz/Win11/Black (A10205400063)</t>
        </is>
      </c>
      <c r="E1635" s="2">
        <v>6</v>
      </c>
      <c r="F1635" s="2">
        <v>6</v>
      </c>
      <c r="H1635" s="2">
        <v>3496</v>
      </c>
      <c r="I1635" s="2" t="inlineStr">
        <is>
          <t>$</t>
        </is>
      </c>
      <c r="J1635" s="2">
        <f>HYPERLINK("https://app.astro.lead-studio.pro/product/3ec18ece-b473-4f9f-8161-977285b7a971")</f>
      </c>
    </row>
    <row r="1636" spans="1:10" customHeight="0">
      <c r="A1636" s="2" t="inlineStr">
        <is>
          <t>Ноутбуки</t>
        </is>
      </c>
      <c r="B1636" s="2" t="inlineStr">
        <is>
          <t>Colorful</t>
        </is>
      </c>
      <c r="C1636" s="2" t="inlineStr">
        <is>
          <t>A10205400071||bp</t>
        </is>
      </c>
      <c r="D1636" s="2" t="inlineStr">
        <is>
          <t>Ноутбук Colorful Bad Pack Ноутбук Colorful X17 AT23H2 Intel Core i7-13650HX/16GB/SSD1TB/17.3"/FHD/144Hz/230W/Win 11/Gray (A10205400071) bp</t>
        </is>
      </c>
      <c r="E1636" s="2">
        <v>6</v>
      </c>
      <c r="F1636" s="2">
        <v>6</v>
      </c>
      <c r="H1636" s="2">
        <v>1131</v>
      </c>
      <c r="I1636" s="2" t="inlineStr">
        <is>
          <t>$</t>
        </is>
      </c>
      <c r="J1636" s="2">
        <f>HYPERLINK("https://app.astro.lead-studio.pro/product/8d5818a1-82e3-43cc-a753-7c4c29f93c80")</f>
      </c>
    </row>
    <row r="1637" spans="1:10" customHeight="0">
      <c r="A1637" s="2" t="inlineStr">
        <is>
          <t>Ноутбуки</t>
        </is>
      </c>
      <c r="B1637" s="2" t="inlineStr">
        <is>
          <t>AORUS</t>
        </is>
      </c>
      <c r="C1637" s="2" t="inlineStr">
        <is>
          <t>ASG-53KZC54SD</t>
        </is>
      </c>
      <c r="D1637" s="2" t="inlineStr">
        <is>
          <t>Ноутбук AORUS 16X Core i7-14650HX/16GB/SSD1Tb/RTX 4070/16.0"/IPS/QHD/NoOS (ASG-53KZC54SD)</t>
        </is>
      </c>
      <c r="E1637" s="2">
        <v>100</v>
      </c>
      <c r="F1637" s="2">
        <v>100</v>
      </c>
      <c r="H1637" s="2">
        <v>2060</v>
      </c>
      <c r="I1637" s="2" t="inlineStr">
        <is>
          <t>$</t>
        </is>
      </c>
      <c r="J1637" s="2">
        <f>HYPERLINK("https://app.astro.lead-studio.pro/product/94e91cba-2b3f-40bd-bc62-5444caaafb68")</f>
      </c>
    </row>
    <row r="1638" spans="1:10" customHeight="0">
      <c r="A1638" s="2" t="inlineStr">
        <is>
          <t>Ноутбуки</t>
        </is>
      </c>
      <c r="B1638" s="2" t="inlineStr">
        <is>
          <t>AORUS</t>
        </is>
      </c>
      <c r="C1638" s="2" t="inlineStr">
        <is>
          <t>ASG-53KZC54SH||bp</t>
        </is>
      </c>
      <c r="D1638" s="2" t="inlineStr">
        <is>
          <t>Ноутбук AORUS BadPack Ноутбук AORUS 16X ASG Intel Core i7-14650HX/16Gb/SSD1Tb/RTX 4070 8Gb/16"/IPS/QHD+/165Hz/Win11/Grey (ASG-53KZC54SH) bp</t>
        </is>
      </c>
      <c r="E1638" s="2">
        <v>2</v>
      </c>
      <c r="F1638" s="2">
        <v>2</v>
      </c>
      <c r="H1638" s="2">
        <v>1995</v>
      </c>
      <c r="I1638" s="2" t="inlineStr">
        <is>
          <t>$</t>
        </is>
      </c>
      <c r="J1638" s="2">
        <f>HYPERLINK("https://app.astro.lead-studio.pro/product/81826633-af38-4bf7-aa90-1d87c9a34b9d")</f>
      </c>
    </row>
    <row r="1639" spans="1:10" customHeight="0">
      <c r="A1639" s="2" t="inlineStr">
        <is>
          <t>Ноутбуки</t>
        </is>
      </c>
      <c r="B1639" s="2" t="inlineStr">
        <is>
          <t>AORUS</t>
        </is>
      </c>
      <c r="C1639" s="2" t="inlineStr">
        <is>
          <t>BKG-13KZ754SH</t>
        </is>
      </c>
      <c r="D1639" s="2" t="inlineStr">
        <is>
          <t>Ноутбук AORUS 15 BKG Core Ultra 7 155H/16Gb/SSD1Tb/RTX4060 8Gb/15.6"/IPS/QHD/Win11H/black (BKG-13KZ754SH)</t>
        </is>
      </c>
      <c r="E1639" s="2">
        <v>4</v>
      </c>
      <c r="F1639" s="2">
        <v>4</v>
      </c>
      <c r="H1639" s="2">
        <v>2197</v>
      </c>
      <c r="I1639" s="2" t="inlineStr">
        <is>
          <t>$</t>
        </is>
      </c>
      <c r="J1639" s="2">
        <f>HYPERLINK("https://app.astro.lead-studio.pro/product/edacde5d-d969-4572-814e-b200c76180cc")</f>
      </c>
    </row>
    <row r="1640" spans="1:10" customHeight="0">
      <c r="A1640" s="2" t="inlineStr">
        <is>
          <t>Ноутбуки</t>
        </is>
      </c>
      <c r="B1640" s="2" t="inlineStr">
        <is>
          <t>AORUS</t>
        </is>
      </c>
      <c r="C1640" s="2" t="inlineStr">
        <is>
          <t>BSF-73KZ754SH</t>
        </is>
      </c>
      <c r="D1640" s="2" t="inlineStr">
        <is>
          <t>Ноутбук AORUS 15 Core i7-13700H/16Gb/SSD1Tb/15.6"/RTX 4070 8Gb/IPS/QHD/165Hz/Win11/black (BSF-73KZ754SH)</t>
        </is>
      </c>
      <c r="E1640" s="2">
        <v>56</v>
      </c>
      <c r="F1640" s="2">
        <v>56</v>
      </c>
      <c r="H1640" s="2">
        <v>1817</v>
      </c>
      <c r="I1640" s="2" t="inlineStr">
        <is>
          <t>$</t>
        </is>
      </c>
      <c r="J1640" s="2">
        <f>HYPERLINK("https://app.astro.lead-studio.pro/product/4431f4f6-25de-4f2c-9d42-9be5275ef52a")</f>
      </c>
    </row>
    <row r="1641" spans="1:10" customHeight="0">
      <c r="A1641" s="2" t="inlineStr">
        <is>
          <t>Ноутбуки</t>
        </is>
      </c>
      <c r="B1641" s="2" t="inlineStr">
        <is>
          <t>AORUS</t>
        </is>
      </c>
      <c r="C1641" s="2" t="inlineStr">
        <is>
          <t>BSF-H3KZ654SH</t>
        </is>
      </c>
      <c r="D1641" s="2" t="inlineStr">
        <is>
          <t>Ноутбук AORUS 17 Core i7-13620H/16Gb/SSD1Tb/17.3"/RTX 4070/IPS/QHD/240Hz/Win11/black (BSF-H3KZ654SH)</t>
        </is>
      </c>
      <c r="E1641" s="2">
        <v>25</v>
      </c>
      <c r="F1641" s="2">
        <v>25</v>
      </c>
      <c r="H1641" s="2">
        <v>2096</v>
      </c>
      <c r="I1641" s="2" t="inlineStr">
        <is>
          <t>$</t>
        </is>
      </c>
      <c r="J1641" s="2">
        <f>HYPERLINK("https://app.astro.lead-studio.pro/product/46ef56de-498f-47e0-878e-96c9ebf34cf8")</f>
      </c>
    </row>
    <row r="1642" spans="1:10" customHeight="0">
      <c r="A1642" s="2" t="inlineStr">
        <is>
          <t>Ноутбуки</t>
        </is>
      </c>
      <c r="B1642" s="2" t="inlineStr">
        <is>
          <t>Gigabyte</t>
        </is>
      </c>
      <c r="C1642" s="2" t="inlineStr">
        <is>
          <t>KF-H3KZ854KH ||bp</t>
        </is>
      </c>
      <c r="D1642" s="2" t="inlineStr">
        <is>
          <t>Ноутбук GIGABYTE Bad Pack G6 KF Core i7-13620H/16Gb/SSD1Tb/RTX 4060/16.0"/IPS/FHD+/Win11 (KF-H3KZ854KH)</t>
        </is>
      </c>
      <c r="E1642" s="2">
        <v>1</v>
      </c>
      <c r="F1642" s="2">
        <v>1</v>
      </c>
      <c r="H1642" s="2">
        <v>1740</v>
      </c>
      <c r="I1642" s="2" t="inlineStr">
        <is>
          <t>$</t>
        </is>
      </c>
      <c r="J1642" s="2">
        <f>HYPERLINK("https://app.astro.lead-studio.pro/product/e0cecbdf-366a-4403-9001-c5a82e785ca9")</f>
      </c>
    </row>
    <row r="1643" spans="1:10" customHeight="0">
      <c r="A1643" s="2" t="inlineStr">
        <is>
          <t>Ноутбуки</t>
        </is>
      </c>
      <c r="B1643" s="2" t="inlineStr">
        <is>
          <t>Gigabyte</t>
        </is>
      </c>
      <c r="C1643" s="2" t="inlineStr">
        <is>
          <t>MF5-H2KZ354KD</t>
        </is>
      </c>
      <c r="D1643" s="2" t="inlineStr">
        <is>
          <t>Ноутбук Gigabyte G5 MF Core i7-13620H/16GB/SSD1Tb/RTX 4050/15.6"/IPS/FHD/Dos (MF5-H2KZ354KD)</t>
        </is>
      </c>
      <c r="E1643" s="2">
        <v>1</v>
      </c>
      <c r="F1643" s="2">
        <v>1</v>
      </c>
      <c r="H1643" s="2">
        <v>1161</v>
      </c>
      <c r="I1643" s="2" t="inlineStr">
        <is>
          <t>$</t>
        </is>
      </c>
      <c r="J1643" s="2">
        <f>HYPERLINK("https://app.astro.lead-studio.pro/product/d09b98ce-1e1b-46f4-a777-e64eaf717524")</f>
      </c>
    </row>
    <row r="1644" spans="1:10" customHeight="0">
      <c r="A1644" s="2" t="inlineStr">
        <is>
          <t>Ноутбуки</t>
        </is>
      </c>
      <c r="B1644" s="2" t="inlineStr">
        <is>
          <t>Gigabyte</t>
        </is>
      </c>
      <c r="C1644" s="2" t="inlineStr">
        <is>
          <t>MF-E2KZ313SH||bp</t>
        </is>
      </c>
      <c r="D1644" s="2" t="inlineStr">
        <is>
          <t>Ноутбук Gigabyte Bad Pack Ноутбук Gigabyte G5 MF Core i5-12500H/16Gb/SSD512Gb/15.6"/RTX 4050 6Gb/IPS/FHD/144hz/Win11/black (MF-E2KZ313SH)</t>
        </is>
      </c>
      <c r="E1644" s="2">
        <v>4</v>
      </c>
      <c r="F1644" s="2">
        <v>4</v>
      </c>
      <c r="H1644" s="2">
        <v>1069</v>
      </c>
      <c r="I1644" s="2" t="inlineStr">
        <is>
          <t>$</t>
        </is>
      </c>
      <c r="J1644" s="2">
        <f>HYPERLINK("https://app.astro.lead-studio.pro/product/478fc565-9443-437c-a3de-90797185e871")</f>
      </c>
    </row>
    <row r="1645" spans="1:10" customHeight="0">
      <c r="A1645" s="2" t="inlineStr">
        <is>
          <t>Ноутбуки</t>
        </is>
      </c>
      <c r="B1645" s="2" t="inlineStr">
        <is>
          <t>Gigabyte</t>
        </is>
      </c>
      <c r="C1645" s="2" t="inlineStr">
        <is>
          <t>MF-G2KZ853SH||bp</t>
        </is>
      </c>
      <c r="D1645" s="2" t="inlineStr">
        <is>
          <t>Ноутбук Gigabyte Bad Pack Ноутбук Gigabyte G6 MF Intel Core i7-12650H/16GB/SSD512GB/RTX 4050 6GB/16"/IPS/FHD+/165Hz/Win11/Black (MF-G2KZ853SH) bp</t>
        </is>
      </c>
      <c r="E1645" s="2">
        <v>3</v>
      </c>
      <c r="F1645" s="2">
        <v>3</v>
      </c>
      <c r="H1645" s="2">
        <v>1094</v>
      </c>
      <c r="I1645" s="2" t="inlineStr">
        <is>
          <t>$</t>
        </is>
      </c>
      <c r="J1645" s="2">
        <f>HYPERLINK("https://app.astro.lead-studio.pro/product/eadf75fe-246d-4a61-b376-55b3463e682c")</f>
      </c>
    </row>
    <row r="1646" spans="1:10" customHeight="0">
      <c r="A1646" s="2" t="inlineStr">
        <is>
          <t>Ноутбуки</t>
        </is>
      </c>
      <c r="B1646" s="2" t="inlineStr">
        <is>
          <t>Gigabyte</t>
        </is>
      </c>
      <c r="C1646" s="2" t="inlineStr">
        <is>
          <t>MF-H2KZ854KD</t>
        </is>
      </c>
      <c r="D1646" s="2" t="inlineStr">
        <is>
          <t>Ноутбук Gigabyte G6 MF Intel Core i7-13620H/16Gb/SSD1Tb/RTX 4050 6Gb/16.0"/IPS/FHD+/165Hz/NoOS/black (MF-H2KZ854KD)</t>
        </is>
      </c>
      <c r="E1646" s="2">
        <v>100</v>
      </c>
      <c r="F1646" s="2">
        <v>100</v>
      </c>
      <c r="H1646" s="2">
        <v>1217</v>
      </c>
      <c r="I1646" s="2" t="inlineStr">
        <is>
          <t>$</t>
        </is>
      </c>
      <c r="J1646" s="2">
        <f>HYPERLINK("https://app.astro.lead-studio.pro/product/5c4f2df0-334a-499c-8da0-674aa708c558")</f>
      </c>
    </row>
    <row r="1647" spans="1:10" customHeight="0">
      <c r="A1647" s="2" t="inlineStr">
        <is>
          <t>Ноутбуки</t>
        </is>
      </c>
      <c r="B1647" s="2" t="inlineStr">
        <is>
          <t>Acer</t>
        </is>
      </c>
      <c r="C1647" s="2" t="inlineStr">
        <is>
          <t>NH.QH0ER.001||bp</t>
        </is>
      </c>
      <c r="D1647" s="2" t="inlineStr">
        <is>
          <t>Ноутбук Acer Bad Pack Ноутбук ACER Nitro 5 AN515-46 Ryzen 5 6600H/16Gb/SSD512Gb/15.6»/RTX 3070 8Gb/IPS/FHD/144hz/noOS/black (NH.QH0ER.001)</t>
        </is>
      </c>
      <c r="E1647" s="2">
        <v>1</v>
      </c>
      <c r="F1647" s="2">
        <v>1</v>
      </c>
      <c r="H1647" s="2">
        <v>1190</v>
      </c>
      <c r="I1647" s="2" t="inlineStr">
        <is>
          <t>$</t>
        </is>
      </c>
      <c r="J1647" s="2">
        <f>HYPERLINK("https://app.astro.lead-studio.pro/product/387b3cdf-e3a1-41fb-ad6b-178bbf153b78")</f>
      </c>
    </row>
    <row r="1648" spans="1:10" customHeight="0">
      <c r="A1648" s="2" t="inlineStr">
        <is>
          <t>Ноутбуки</t>
        </is>
      </c>
      <c r="B1648" s="2" t="inlineStr">
        <is>
          <t>Acer</t>
        </is>
      </c>
      <c r="C1648" s="2" t="inlineStr">
        <is>
          <t>NH.QN9CD.00H</t>
        </is>
      </c>
      <c r="D1648" s="2" t="inlineStr">
        <is>
          <t>Ноутбук Acer Nitro V ANV15-51-7134 Core i7-13620H/16Gb/SSD1024Gb/RTX3050 6Gb/15.6"/IPS/FHD/NoOS/black (NH.QN9CD.00H)</t>
        </is>
      </c>
      <c r="E1648" s="2">
        <v>100</v>
      </c>
      <c r="F1648" s="2">
        <v>100</v>
      </c>
      <c r="H1648" s="2">
        <v>1095</v>
      </c>
      <c r="I1648" s="2" t="inlineStr">
        <is>
          <t>$</t>
        </is>
      </c>
      <c r="J1648" s="2">
        <f>HYPERLINK("https://app.astro.lead-studio.pro/product/b6493bd3-aa1d-4eb7-913f-564b52227387")</f>
      </c>
    </row>
    <row r="1649" spans="1:10" customHeight="0">
      <c r="A1649" s="2" t="inlineStr">
        <is>
          <t>Ноутбуки</t>
        </is>
      </c>
      <c r="B1649" s="2" t="inlineStr">
        <is>
          <t>Acer</t>
        </is>
      </c>
      <c r="C1649" s="2" t="inlineStr">
        <is>
          <t>NH.QN9CD.00J</t>
        </is>
      </c>
      <c r="D1649" s="2" t="inlineStr">
        <is>
          <t>Ноутбук Acer Nitro V ANV15-51-58QB Core i5-13420H/16Gb/SSD1024Gb/RTX3050 6Gb/15.6"/IPS/FHD/NoOS/black (NH.QN9CD.00J)</t>
        </is>
      </c>
      <c r="E1649" s="2">
        <v>75</v>
      </c>
      <c r="F1649" s="2">
        <v>75</v>
      </c>
      <c r="H1649" s="2">
        <v>986</v>
      </c>
      <c r="I1649" s="2" t="inlineStr">
        <is>
          <t>$</t>
        </is>
      </c>
      <c r="J1649" s="2">
        <f>HYPERLINK("https://app.astro.lead-studio.pro/product/9234bbc9-b967-4c1d-b944-a95c9bb327b6")</f>
      </c>
    </row>
    <row r="1650" spans="1:10" customHeight="0">
      <c r="A1650" s="2" t="inlineStr">
        <is>
          <t>Ноутбуки</t>
        </is>
      </c>
      <c r="B1650" s="2" t="inlineStr">
        <is>
          <t>Acer</t>
        </is>
      </c>
      <c r="C1650" s="2" t="inlineStr">
        <is>
          <t>NH.QPNCD.002</t>
        </is>
      </c>
      <c r="D1650" s="2" t="inlineStr">
        <is>
          <t>Ноутбук Acer Predator Triton Neo 16 PTN16-51-72K6 Intel Core Ultra 7 155H/16Gb/SSD1Tb/RTX4060 8Gb/16"/IPS/QHD+/240Hz/Win11/Silver (NH.QPNCD.002)</t>
        </is>
      </c>
      <c r="E1650" s="2">
        <v>6</v>
      </c>
      <c r="F1650" s="2">
        <v>6</v>
      </c>
      <c r="H1650" s="2">
        <v>1738</v>
      </c>
      <c r="I1650" s="2" t="inlineStr">
        <is>
          <t>$</t>
        </is>
      </c>
      <c r="J1650" s="2">
        <f>HYPERLINK("https://app.astro.lead-studio.pro/product/b89e07fc-127d-4aa0-9410-63dc9f9d64cb")</f>
      </c>
    </row>
    <row r="1651" spans="1:10" customHeight="0">
      <c r="A1651" s="2" t="inlineStr">
        <is>
          <t>Ноутбуки</t>
        </is>
      </c>
      <c r="B1651" s="2" t="inlineStr">
        <is>
          <t>Acer</t>
        </is>
      </c>
      <c r="C1651" s="2" t="inlineStr">
        <is>
          <t>NH.QSLCD.005</t>
        </is>
      </c>
      <c r="D1651" s="2" t="inlineStr">
        <is>
          <t>Ноутбук Acer Nitro AN16-42-R0NK Ryzen 7 8845HS/32Gb/SSD1024Gb/RTX4070 8Gb/16.0"/IPS/WQXGA/NoOS/black (NH.QSLCD.005)</t>
        </is>
      </c>
      <c r="E1651" s="2">
        <v>36</v>
      </c>
      <c r="F1651" s="2">
        <v>36</v>
      </c>
      <c r="H1651" s="2">
        <v>1799</v>
      </c>
      <c r="I1651" s="2" t="inlineStr">
        <is>
          <t>$</t>
        </is>
      </c>
      <c r="J1651" s="2">
        <f>HYPERLINK("https://app.astro.lead-studio.pro/product/d6c66c14-db90-4f90-b43a-bafbf83088d2")</f>
      </c>
    </row>
    <row r="1652" spans="1:10" customHeight="0">
      <c r="A1652" s="2" t="inlineStr">
        <is>
          <t>Ноутбуки</t>
        </is>
      </c>
      <c r="B1652" s="2" t="inlineStr">
        <is>
          <t>Acer</t>
        </is>
      </c>
      <c r="C1652" s="2" t="inlineStr">
        <is>
          <t>NX.EH3CD.002</t>
        </is>
      </c>
      <c r="D1652" s="2" t="inlineStr">
        <is>
          <t>Ноутбук Acer Extensa 15 EX215-23-R0GZ AMD Ryzen 5 7520U/8Gb/SSD512Gb/15.6"/IPS/FHD/60Hz/NoOS/Iron (NX.EH3CD.002)</t>
        </is>
      </c>
      <c r="E1652" s="2">
        <v>100</v>
      </c>
      <c r="F1652" s="2">
        <v>100</v>
      </c>
      <c r="H1652" s="2">
        <v>443</v>
      </c>
      <c r="I1652" s="2" t="inlineStr">
        <is>
          <t>$</t>
        </is>
      </c>
      <c r="J1652" s="2">
        <f>HYPERLINK("https://app.astro.lead-studio.pro/product/34b7dc8e-7abb-462e-9897-c5bc24076956")</f>
      </c>
    </row>
    <row r="1653" spans="1:10" customHeight="0">
      <c r="A1653" s="2" t="inlineStr">
        <is>
          <t>Ноутбуки</t>
        </is>
      </c>
      <c r="B1653" s="2" t="inlineStr">
        <is>
          <t>Acer</t>
        </is>
      </c>
      <c r="C1653" s="2" t="inlineStr">
        <is>
          <t>NX.EH3CD.003</t>
        </is>
      </c>
      <c r="D1653" s="2" t="inlineStr">
        <is>
          <t>Ноутбук Acer Extensa EX215-23 Ryzen 5 7520U/8Gb/SSD256Gb/15.6"/IPS/FHD/NoOS/iron (NX.EH3CD.003)</t>
        </is>
      </c>
      <c r="E1653" s="2">
        <v>100</v>
      </c>
      <c r="F1653" s="2">
        <v>100</v>
      </c>
      <c r="H1653" s="2">
        <v>457</v>
      </c>
      <c r="I1653" s="2" t="inlineStr">
        <is>
          <t>$</t>
        </is>
      </c>
      <c r="J1653" s="2">
        <f>HYPERLINK("https://app.astro.lead-studio.pro/product/cc814157-35b4-46c3-bd78-e01ae0a8bfae")</f>
      </c>
    </row>
    <row r="1654" spans="1:10" customHeight="0">
      <c r="A1654" s="2" t="inlineStr">
        <is>
          <t>Ноутбуки</t>
        </is>
      </c>
      <c r="B1654" s="2" t="inlineStr">
        <is>
          <t>Acer</t>
        </is>
      </c>
      <c r="C1654" s="2" t="inlineStr">
        <is>
          <t>NX.EH3CD.004</t>
        </is>
      </c>
      <c r="D1654" s="2" t="inlineStr">
        <is>
          <t>Ноутбук Acer Extensa 15 EX215-23-R6F9 AMD Ryzen 3 7320U/8Gb/SSD512Gb/15.6"/IPS/FHD/60Hz/NoOS/Iron (NX.EH3CD.004)</t>
        </is>
      </c>
      <c r="E1654" s="2">
        <v>20</v>
      </c>
      <c r="F1654" s="2">
        <v>20</v>
      </c>
      <c r="H1654" s="2">
        <v>412</v>
      </c>
      <c r="I1654" s="2" t="inlineStr">
        <is>
          <t>$</t>
        </is>
      </c>
      <c r="J1654" s="2">
        <f>HYPERLINK("https://app.astro.lead-studio.pro/product/ce8da7c1-08af-4304-832e-8d7d77912e72")</f>
      </c>
    </row>
    <row r="1655" spans="1:10" customHeight="0">
      <c r="A1655" s="2" t="inlineStr">
        <is>
          <t>Ноутбуки</t>
        </is>
      </c>
      <c r="B1655" s="2" t="inlineStr">
        <is>
          <t>Acer</t>
        </is>
      </c>
      <c r="C1655" s="2" t="inlineStr">
        <is>
          <t>NX.EH3CD.006</t>
        </is>
      </c>
      <c r="D1655" s="2" t="inlineStr">
        <is>
          <t>Ноутбук Acer Extensa 15 EX215-23-R2FV AMD Ryzen 3 7320U/8Gb/SSD512Gb/15.6"/IPS/FHD/60Hz/Win11/Iron (NX.EH3CD.006)</t>
        </is>
      </c>
      <c r="E1655" s="2">
        <v>15</v>
      </c>
      <c r="F1655" s="2">
        <v>15</v>
      </c>
      <c r="H1655" s="2">
        <v>447</v>
      </c>
      <c r="I1655" s="2" t="inlineStr">
        <is>
          <t>$</t>
        </is>
      </c>
      <c r="J1655" s="2">
        <f>HYPERLINK("https://app.astro.lead-studio.pro/product/2f817e6b-fb4f-45cf-a293-b19d4d139619")</f>
      </c>
    </row>
    <row r="1656" spans="1:10" customHeight="0">
      <c r="A1656" s="2" t="inlineStr">
        <is>
          <t>Ноутбуки</t>
        </is>
      </c>
      <c r="B1656" s="2" t="inlineStr">
        <is>
          <t>Acer</t>
        </is>
      </c>
      <c r="C1656" s="2" t="inlineStr">
        <is>
          <t>NX.EH3CD.007</t>
        </is>
      </c>
      <c r="D1656" s="2" t="inlineStr">
        <is>
          <t>Ноутбук Acer Extensa 15 EX215-23-R0SL AMD Ryzen 3 7320U/8Gb/SSD256Gb/15.6"/IPS/FHD/60Hz/Win11/Iron (NX.EH3CD.007)</t>
        </is>
      </c>
      <c r="E1656" s="2">
        <v>1</v>
      </c>
      <c r="F1656" s="2">
        <v>1</v>
      </c>
      <c r="H1656" s="2">
        <v>471</v>
      </c>
      <c r="I1656" s="2" t="inlineStr">
        <is>
          <t>$</t>
        </is>
      </c>
      <c r="J1656" s="2">
        <f>HYPERLINK("https://app.astro.lead-studio.pro/product/10893361-029f-47a9-b887-0dfcb6a2e8be")</f>
      </c>
    </row>
    <row r="1657" spans="1:10" customHeight="0">
      <c r="A1657" s="2" t="inlineStr">
        <is>
          <t>Ноутбуки</t>
        </is>
      </c>
      <c r="B1657" s="2" t="inlineStr">
        <is>
          <t>Acer</t>
        </is>
      </c>
      <c r="C1657" s="2" t="inlineStr">
        <is>
          <t>NX.EH3CD.008</t>
        </is>
      </c>
      <c r="D1657" s="2" t="inlineStr">
        <is>
          <t>Ноутбук Acer Extensa 15EX215-23 Ryzen 3 7320U/8Gb/SSD256Gb/15,6"/FHD/IPS/noOS/Iron (NX.EH3CD.008)</t>
        </is>
      </c>
      <c r="E1657" s="2">
        <v>20</v>
      </c>
      <c r="F1657" s="2">
        <v>20</v>
      </c>
      <c r="H1657" s="2">
        <v>406</v>
      </c>
      <c r="I1657" s="2" t="inlineStr">
        <is>
          <t>$</t>
        </is>
      </c>
      <c r="J1657" s="2">
        <f>HYPERLINK("https://app.astro.lead-studio.pro/product/cc910a15-b944-4639-acdf-a4561ccd8ae1")</f>
      </c>
    </row>
    <row r="1658" spans="1:10" customHeight="0">
      <c r="A1658" s="2" t="inlineStr">
        <is>
          <t>Ноутбуки</t>
        </is>
      </c>
      <c r="B1658" s="2" t="inlineStr">
        <is>
          <t>Acer</t>
        </is>
      </c>
      <c r="C1658" s="2" t="inlineStr">
        <is>
          <t>NX.EH3CD.009</t>
        </is>
      </c>
      <c r="D1658" s="2" t="inlineStr">
        <is>
          <t>Ноутбук Acer Extensa 15 EX215-23-R0R1 AMD Ryzen 5 7520U/16Gb/SSD1024Gb/15.6"/IPS/FHD/60Hz/Win11/Iron (NX.EH3CD.009)</t>
        </is>
      </c>
      <c r="E1658" s="2">
        <v>9</v>
      </c>
      <c r="F1658" s="2">
        <v>9</v>
      </c>
      <c r="H1658" s="2">
        <v>544</v>
      </c>
      <c r="I1658" s="2" t="inlineStr">
        <is>
          <t>$</t>
        </is>
      </c>
      <c r="J1658" s="2">
        <f>HYPERLINK("https://app.astro.lead-studio.pro/product/7124a325-847f-4764-ac98-574179a4019d")</f>
      </c>
    </row>
    <row r="1659" spans="1:10" customHeight="0">
      <c r="A1659" s="2" t="inlineStr">
        <is>
          <t>Ноутбуки</t>
        </is>
      </c>
      <c r="B1659" s="2" t="inlineStr">
        <is>
          <t>Acer</t>
        </is>
      </c>
      <c r="C1659" s="2" t="inlineStr">
        <is>
          <t>NX.EH3CD.00A</t>
        </is>
      </c>
      <c r="D1659" s="2" t="inlineStr">
        <is>
          <t>Ноутбук Acer Extensa 15 EX215-23-R8XF AMD Ryzen 5 7520U/16Gb/SSD1024Gb/15.6"/IPS/FHD/60Hz/NoOS/Iron (NX.EH3CD.00A)</t>
        </is>
      </c>
      <c r="E1659" s="2">
        <v>20</v>
      </c>
      <c r="F1659" s="2">
        <v>20</v>
      </c>
      <c r="H1659" s="2">
        <v>548</v>
      </c>
      <c r="I1659" s="2" t="inlineStr">
        <is>
          <t>$</t>
        </is>
      </c>
      <c r="J1659" s="2">
        <f>HYPERLINK("https://app.astro.lead-studio.pro/product/c84a6af0-be97-44b6-b0e2-7ef8f093cd8d")</f>
      </c>
    </row>
    <row r="1660" spans="1:10" customHeight="0">
      <c r="A1660" s="2" t="inlineStr">
        <is>
          <t>Ноутбуки</t>
        </is>
      </c>
      <c r="B1660" s="2" t="inlineStr">
        <is>
          <t>Acer</t>
        </is>
      </c>
      <c r="C1660" s="2" t="inlineStr">
        <is>
          <t>NX.EH3CD.00B</t>
        </is>
      </c>
      <c r="D1660" s="2" t="inlineStr">
        <is>
          <t>Ноутбук Acer Extensa 15 EX215-23-R8PN Ryzen 5 7520U/16Gb/SSD512Gb/15,6"/FHD/IPS/noOS/Iron (NX.EH3CD.00B)</t>
        </is>
      </c>
      <c r="E1660" s="2">
        <v>20</v>
      </c>
      <c r="F1660" s="2">
        <v>20</v>
      </c>
      <c r="H1660" s="2">
        <v>483</v>
      </c>
      <c r="I1660" s="2" t="inlineStr">
        <is>
          <t>$</t>
        </is>
      </c>
      <c r="J1660" s="2">
        <f>HYPERLINK("https://app.astro.lead-studio.pro/product/b971978e-aac1-45b1-b0d6-904f599ecc65")</f>
      </c>
    </row>
    <row r="1661" spans="1:10" customHeight="0">
      <c r="A1661" s="2" t="inlineStr">
        <is>
          <t>Ноутбуки</t>
        </is>
      </c>
      <c r="B1661" s="2" t="inlineStr">
        <is>
          <t>Acer</t>
        </is>
      </c>
      <c r="C1661" s="2" t="inlineStr">
        <is>
          <t>NX.EH3CD.00D</t>
        </is>
      </c>
      <c r="D1661" s="2" t="inlineStr">
        <is>
          <t>Ноутбук Acer Extensa 15 EX215-23-R62L AMD Ryzen 3 7320U/16Gb/SSD512Gb/15.6"/IPS/FHD/60Hz/NoOS/Iron (NX.EH3CD.00D)</t>
        </is>
      </c>
      <c r="E1661" s="2">
        <v>100</v>
      </c>
      <c r="F1661" s="2">
        <v>100</v>
      </c>
      <c r="H1661" s="2">
        <v>445</v>
      </c>
      <c r="I1661" s="2" t="inlineStr">
        <is>
          <t>$</t>
        </is>
      </c>
      <c r="J1661" s="2">
        <f>HYPERLINK("https://app.astro.lead-studio.pro/product/9b0ca5a7-2c19-41f0-a539-91738f419355")</f>
      </c>
    </row>
    <row r="1662" spans="1:10" customHeight="0">
      <c r="A1662" s="2" t="inlineStr">
        <is>
          <t>Ноутбуки</t>
        </is>
      </c>
      <c r="B1662" s="2" t="inlineStr">
        <is>
          <t>Acer</t>
        </is>
      </c>
      <c r="C1662" s="2" t="inlineStr">
        <is>
          <t>NX.EH6CD.009||bp</t>
        </is>
      </c>
      <c r="D1662" s="2" t="inlineStr">
        <is>
          <t>Ноутбук Acer Extensa 15EX215-33 Intel N100/8Gb/SSD256Gb/15,6"/FHD/IPS/noOS/Silver (NX.EH6CD.009)</t>
        </is>
      </c>
      <c r="E1662" s="2">
        <v>1</v>
      </c>
      <c r="F1662" s="2">
        <v>1</v>
      </c>
      <c r="H1662" s="2">
        <v>325</v>
      </c>
      <c r="I1662" s="2" t="inlineStr">
        <is>
          <t>$</t>
        </is>
      </c>
      <c r="J1662" s="2">
        <f>HYPERLINK("https://app.astro.lead-studio.pro/product/f96f75e1-0918-4fce-9224-e097c457cb4f")</f>
      </c>
    </row>
    <row r="1663" spans="1:10" customHeight="0">
      <c r="A1663" s="2" t="inlineStr">
        <is>
          <t>Ноутбуки</t>
        </is>
      </c>
      <c r="B1663" s="2" t="inlineStr">
        <is>
          <t>Acer</t>
        </is>
      </c>
      <c r="C1663" s="2" t="inlineStr">
        <is>
          <t>NX.EHTCD.001</t>
        </is>
      </c>
      <c r="D1663" s="2" t="inlineStr">
        <is>
          <t>Ноутбук Acer Extensa 15 EX215-34-P92P Intel N200/8Gb/SSD512Gb/15.6"/IPS/FHD/60Hz/NoOS/Silver (NX.EHTCD.001)</t>
        </is>
      </c>
      <c r="E1663" s="2">
        <v>100</v>
      </c>
      <c r="F1663" s="2">
        <v>100</v>
      </c>
      <c r="H1663" s="2">
        <v>343</v>
      </c>
      <c r="I1663" s="2" t="inlineStr">
        <is>
          <t>$</t>
        </is>
      </c>
      <c r="J1663" s="2">
        <f>HYPERLINK("https://app.astro.lead-studio.pro/product/d4508b78-bcf1-473a-a6b6-f6eb8e9044e2")</f>
      </c>
    </row>
    <row r="1664" spans="1:10" customHeight="0">
      <c r="A1664" s="2" t="inlineStr">
        <is>
          <t>Ноутбуки</t>
        </is>
      </c>
      <c r="B1664" s="2" t="inlineStr">
        <is>
          <t>Acer</t>
        </is>
      </c>
      <c r="C1664" s="2" t="inlineStr">
        <is>
          <t>NX.EHTCD.003</t>
        </is>
      </c>
      <c r="D1664" s="2" t="inlineStr">
        <is>
          <t>Ноутбук Acer Extensa 15 EX215-34-32RU Intel Core i3-N305/16Gb/SSD512Gb/15.6"/IPS/FHD/60Hz/NoOS/Silver (NX.EHTCD.003)</t>
        </is>
      </c>
      <c r="E1664" s="2">
        <v>100</v>
      </c>
      <c r="F1664" s="2">
        <v>100</v>
      </c>
      <c r="H1664" s="2">
        <v>470</v>
      </c>
      <c r="I1664" s="2" t="inlineStr">
        <is>
          <t>$</t>
        </is>
      </c>
      <c r="J1664" s="2">
        <f>HYPERLINK("https://app.astro.lead-studio.pro/product/0a853939-b570-496d-a198-66681285d451")</f>
      </c>
    </row>
    <row r="1665" spans="1:10" customHeight="0">
      <c r="A1665" s="2" t="inlineStr">
        <is>
          <t>Ноутбуки</t>
        </is>
      </c>
      <c r="B1665" s="2" t="inlineStr">
        <is>
          <t>Acer</t>
        </is>
      </c>
      <c r="C1665" s="2" t="inlineStr">
        <is>
          <t>NX.EHTCD.004</t>
        </is>
      </c>
      <c r="D1665" s="2" t="inlineStr">
        <is>
          <t>Ноутбук Acer Extensa 15 EX215-34-34Z7 Intel Core i3-N305/8Gb/SSD512Gb/15.6"/IPS/FHD/60Hz/NoOS/Silver (NX.EHTCD.004)</t>
        </is>
      </c>
      <c r="E1665" s="2">
        <v>100</v>
      </c>
      <c r="F1665" s="2">
        <v>100</v>
      </c>
      <c r="H1665" s="2">
        <v>462</v>
      </c>
      <c r="I1665" s="2" t="inlineStr">
        <is>
          <t>$</t>
        </is>
      </c>
      <c r="J1665" s="2">
        <f>HYPERLINK("https://app.astro.lead-studio.pro/product/ce875045-54ef-4485-9bb4-0a8031fde84c")</f>
      </c>
    </row>
    <row r="1666" spans="1:10" customHeight="0">
      <c r="A1666" s="2" t="inlineStr">
        <is>
          <t>Ноутбуки</t>
        </is>
      </c>
      <c r="B1666" s="2" t="inlineStr">
        <is>
          <t>Acer</t>
        </is>
      </c>
      <c r="C1666" s="2" t="inlineStr">
        <is>
          <t>NX.EHTCD.004||bp</t>
        </is>
      </c>
      <c r="D1666" s="2" t="inlineStr">
        <is>
          <t>Ноутбук Acer Bad Pack Ноутбук Acer Extensa 15 EX215-34-34Z7 Intel Core i3-N305/8Gb/SSD512Gb/15.6"/IPS/FHD/60Hz/NoOS/Silver (NX.EHTCD.004) bp</t>
        </is>
      </c>
      <c r="E1666" s="2">
        <v>3</v>
      </c>
      <c r="F1666" s="2">
        <v>3</v>
      </c>
      <c r="H1666" s="2">
        <v>482</v>
      </c>
      <c r="I1666" s="2" t="inlineStr">
        <is>
          <t>$</t>
        </is>
      </c>
      <c r="J1666" s="2">
        <f>HYPERLINK("https://app.astro.lead-studio.pro/product/b184ecfe-351c-4c92-b23b-8907aba905f2")</f>
      </c>
    </row>
    <row r="1667" spans="1:10" customHeight="0">
      <c r="A1667" s="2" t="inlineStr">
        <is>
          <t>Ноутбуки</t>
        </is>
      </c>
      <c r="B1667" s="2" t="inlineStr">
        <is>
          <t>Acer</t>
        </is>
      </c>
      <c r="C1667" s="2" t="inlineStr">
        <is>
          <t>NX.EHTCD.006</t>
        </is>
      </c>
      <c r="D1667" s="2" t="inlineStr">
        <is>
          <t>Ноутбук Acer Extensa 15 EX215-34-C6UB Core Processor N100/8Gb/SSD256Gb/15.6"/IPS/FHD/NoOS/Silver (NX.EHTCD.006)</t>
        </is>
      </c>
      <c r="E1667" s="2">
        <v>10</v>
      </c>
      <c r="F1667" s="2">
        <v>10</v>
      </c>
      <c r="H1667" s="2">
        <v>319</v>
      </c>
      <c r="I1667" s="2" t="inlineStr">
        <is>
          <t>$</t>
        </is>
      </c>
      <c r="J1667" s="2">
        <f>HYPERLINK("https://app.astro.lead-studio.pro/product/4b827158-a7ce-42b7-a11f-eb4fba83b417")</f>
      </c>
    </row>
    <row r="1668" spans="1:10" customHeight="0">
      <c r="A1668" s="2" t="inlineStr">
        <is>
          <t>Ноутбуки</t>
        </is>
      </c>
      <c r="B1668" s="2" t="inlineStr">
        <is>
          <t>Acer</t>
        </is>
      </c>
      <c r="C1668" s="2" t="inlineStr">
        <is>
          <t>NX.EHTCD.007</t>
        </is>
      </c>
      <c r="D1668" s="2" t="inlineStr">
        <is>
          <t>Ноутбук Acer Extensa 15 EX215-34-3117 Intel Core i3-N305/8Gb/SSD256Gb/15.6"/TN/FHD/60Hz/NoOS/Silver (NX.EHTCD.007)</t>
        </is>
      </c>
      <c r="E1668" s="2">
        <v>1</v>
      </c>
      <c r="F1668" s="2">
        <v>1</v>
      </c>
      <c r="H1668" s="2">
        <v>367</v>
      </c>
      <c r="I1668" s="2" t="inlineStr">
        <is>
          <t>$</t>
        </is>
      </c>
      <c r="J1668" s="2">
        <f>HYPERLINK("https://app.astro.lead-studio.pro/product/796e5e89-69c4-4875-97de-fb1804552c04")</f>
      </c>
    </row>
    <row r="1669" spans="1:10" customHeight="0">
      <c r="A1669" s="2" t="inlineStr">
        <is>
          <t>Ноутбуки</t>
        </is>
      </c>
      <c r="B1669" s="2" t="inlineStr">
        <is>
          <t>Acer</t>
        </is>
      </c>
      <c r="C1669" s="2" t="inlineStr">
        <is>
          <t>NX.EHTCD.007||bp</t>
        </is>
      </c>
      <c r="D1669" s="2" t="inlineStr">
        <is>
          <t>Ноутбук Acer Extensa EX215-34 Core i3-N305/8Gb/SSD256Gb/15.6"/IPS/FHD/NoOS/Silver (NX.EHTCD.007)</t>
        </is>
      </c>
      <c r="E1669" s="2">
        <v>1</v>
      </c>
      <c r="F1669" s="2">
        <v>1</v>
      </c>
      <c r="H1669" s="2">
        <v>694</v>
      </c>
      <c r="I1669" s="2" t="inlineStr">
        <is>
          <t>$</t>
        </is>
      </c>
      <c r="J1669" s="2">
        <f>HYPERLINK("https://app.astro.lead-studio.pro/product/dbf753fc-cadd-44f6-b249-950f964100e3")</f>
      </c>
    </row>
    <row r="1670" spans="1:10" customHeight="0">
      <c r="A1670" s="2" t="inlineStr">
        <is>
          <t>Ноутбуки</t>
        </is>
      </c>
      <c r="B1670" s="2" t="inlineStr">
        <is>
          <t>Acer</t>
        </is>
      </c>
      <c r="C1670" s="2" t="inlineStr">
        <is>
          <t>NX.EHWCD.002</t>
        </is>
      </c>
      <c r="D1670" s="2" t="inlineStr">
        <is>
          <t>Ноутбук Acer Extensa EX215-56 Core 7 150U/16Gb/SSD512Gb/15.6"/IPS/FHD/NoOs/iron (NX.EHWCD.002)</t>
        </is>
      </c>
      <c r="E1670" s="2">
        <v>100</v>
      </c>
      <c r="F1670" s="2">
        <v>100</v>
      </c>
      <c r="H1670" s="2">
        <v>830</v>
      </c>
      <c r="I1670" s="2" t="inlineStr">
        <is>
          <t>$</t>
        </is>
      </c>
      <c r="J1670" s="2">
        <f>HYPERLINK("https://app.astro.lead-studio.pro/product/1d36384e-8c7b-4f34-9cf5-db1584d34cb5")</f>
      </c>
    </row>
    <row r="1671" spans="1:10" customHeight="0">
      <c r="A1671" s="2" t="inlineStr">
        <is>
          <t>Ноутбуки</t>
        </is>
      </c>
      <c r="B1671" s="2" t="inlineStr">
        <is>
          <t>Acer</t>
        </is>
      </c>
      <c r="C1671" s="2" t="inlineStr">
        <is>
          <t>NX.EHWCD.003</t>
        </is>
      </c>
      <c r="D1671" s="2" t="inlineStr">
        <is>
          <t>Ноутбук Acer Extensa EX215-56 Core 5 120U/16Gb/SSD1024Gb/15.6"/IPS/FHD/NoOS/iron (NX.EHWCD.003)</t>
        </is>
      </c>
      <c r="E1671" s="2">
        <v>100</v>
      </c>
      <c r="F1671" s="2">
        <v>100</v>
      </c>
      <c r="H1671" s="2">
        <v>730</v>
      </c>
      <c r="I1671" s="2" t="inlineStr">
        <is>
          <t>$</t>
        </is>
      </c>
      <c r="J1671" s="2">
        <f>HYPERLINK("https://app.astro.lead-studio.pro/product/76dac71c-09e4-4418-a136-402e4eab630e")</f>
      </c>
    </row>
    <row r="1672" spans="1:10" customHeight="0">
      <c r="A1672" s="2" t="inlineStr">
        <is>
          <t>Ноутбуки</t>
        </is>
      </c>
      <c r="B1672" s="2" t="inlineStr">
        <is>
          <t>Acer</t>
        </is>
      </c>
      <c r="C1672" s="2" t="inlineStr">
        <is>
          <t>NX.EHWCD.004</t>
        </is>
      </c>
      <c r="D1672" s="2" t="inlineStr">
        <is>
          <t>Ноутбук Acer Extensa EX215-56 Core 5 120U/16Gb/SSD512Gb/15.6"/IPS/FHD/NoOS/iron (NX.EHWCD.004)</t>
        </is>
      </c>
      <c r="E1672" s="2">
        <v>100</v>
      </c>
      <c r="F1672" s="2">
        <v>100</v>
      </c>
      <c r="H1672" s="2">
        <v>679</v>
      </c>
      <c r="I1672" s="2" t="inlineStr">
        <is>
          <t>$</t>
        </is>
      </c>
      <c r="J1672" s="2">
        <f>HYPERLINK("https://app.astro.lead-studio.pro/product/385607d1-a9a7-471d-aa08-dfe17977ca83")</f>
      </c>
    </row>
    <row r="1673" spans="1:10" customHeight="0">
      <c r="A1673" s="2" t="inlineStr">
        <is>
          <t>Ноутбуки</t>
        </is>
      </c>
      <c r="B1673" s="2" t="inlineStr">
        <is>
          <t>Acer</t>
        </is>
      </c>
      <c r="C1673" s="2" t="inlineStr">
        <is>
          <t>NX.EHWCD.004||bp</t>
        </is>
      </c>
      <c r="D1673" s="2" t="inlineStr">
        <is>
          <t>Ноутбук Acer Bad Pack Ноутбук Acer Extensa EX215-56 Core 5 120U/16Gb/SSD512Gb/15.6"/IPS/FHD/NoOS/iron (NX.EHWCD.004)
 bp</t>
        </is>
      </c>
      <c r="E1673" s="2">
        <v>2</v>
      </c>
      <c r="F1673" s="2">
        <v>2</v>
      </c>
      <c r="H1673" s="2">
        <v>702</v>
      </c>
      <c r="I1673" s="2" t="inlineStr">
        <is>
          <t>$</t>
        </is>
      </c>
      <c r="J1673" s="2">
        <f>HYPERLINK("https://app.astro.lead-studio.pro/product/4b6a0182-0096-49ab-a47d-ed1008d436a2")</f>
      </c>
    </row>
    <row r="1674" spans="1:10" customHeight="0">
      <c r="A1674" s="2" t="inlineStr">
        <is>
          <t>Ноутбуки</t>
        </is>
      </c>
      <c r="B1674" s="2" t="inlineStr">
        <is>
          <t>Acer</t>
        </is>
      </c>
      <c r="C1674" s="2" t="inlineStr">
        <is>
          <t>NX.EHWCD.005</t>
        </is>
      </c>
      <c r="D1674" s="2" t="inlineStr">
        <is>
          <t>Ноутбук Acer Extensa EX215-56 Core 3 100U/16Gb/SSD512Gb/15.6"/IPS/FHD/NoOS/iron (NX.EHWCD.005)</t>
        </is>
      </c>
      <c r="E1674" s="2">
        <v>100</v>
      </c>
      <c r="F1674" s="2">
        <v>100</v>
      </c>
      <c r="H1674" s="2">
        <v>526</v>
      </c>
      <c r="I1674" s="2" t="inlineStr">
        <is>
          <t>$</t>
        </is>
      </c>
      <c r="J1674" s="2">
        <f>HYPERLINK("https://app.astro.lead-studio.pro/product/9c13278d-d932-4426-8460-39992b605b76")</f>
      </c>
    </row>
    <row r="1675" spans="1:10" customHeight="0">
      <c r="A1675" s="2" t="inlineStr">
        <is>
          <t>Ноутбуки</t>
        </is>
      </c>
      <c r="B1675" s="2" t="inlineStr">
        <is>
          <t>Acer</t>
        </is>
      </c>
      <c r="C1675" s="2" t="inlineStr">
        <is>
          <t>NX.KDKCD.001</t>
        </is>
      </c>
      <c r="D1675" s="2" t="inlineStr">
        <is>
          <t>Ноутбук Acer Aspire A317-55P Core i3-N305/16Gb/SSD512Gb/17.3"/IPS/FHD/NoOS/silver (NX.KDKCD.001)</t>
        </is>
      </c>
      <c r="E1675" s="2">
        <v>100</v>
      </c>
      <c r="F1675" s="2">
        <v>100</v>
      </c>
      <c r="H1675" s="2">
        <v>564</v>
      </c>
      <c r="I1675" s="2" t="inlineStr">
        <is>
          <t>$</t>
        </is>
      </c>
      <c r="J1675" s="2">
        <f>HYPERLINK("https://app.astro.lead-studio.pro/product/e9035a74-890e-4947-ae05-9f4065fa957e")</f>
      </c>
    </row>
    <row r="1676" spans="1:10" customHeight="0">
      <c r="A1676" s="2" t="inlineStr">
        <is>
          <t>Ноутбуки</t>
        </is>
      </c>
      <c r="B1676" s="2" t="inlineStr">
        <is>
          <t>Acer</t>
        </is>
      </c>
      <c r="C1676" s="2" t="inlineStr">
        <is>
          <t>NX.KDKCD.001||bp</t>
        </is>
      </c>
      <c r="D1676" s="2" t="inlineStr">
        <is>
          <t>Ноутбук Acer Bad Pack Ноутбук Acer Aspire 3 A317-55P-341F Intel Core i3-N305/16Gb/SSD512Gb/17.3"/IPS/FHD/60Hz/NoOS/Silver (NX.KDKCD.001) bp</t>
        </is>
      </c>
      <c r="E1676" s="2">
        <v>1</v>
      </c>
      <c r="F1676" s="2">
        <v>1</v>
      </c>
      <c r="H1676" s="2">
        <v>572</v>
      </c>
      <c r="I1676" s="2" t="inlineStr">
        <is>
          <t>$</t>
        </is>
      </c>
      <c r="J1676" s="2">
        <f>HYPERLINK("https://app.astro.lead-studio.pro/product/9c073e7b-1438-49e4-912c-7b4bb74e81e0")</f>
      </c>
    </row>
    <row r="1677" spans="1:10" customHeight="0">
      <c r="A1677" s="2" t="inlineStr">
        <is>
          <t>Ноутбуки</t>
        </is>
      </c>
      <c r="B1677" s="2" t="inlineStr">
        <is>
          <t>Acer</t>
        </is>
      </c>
      <c r="C1677" s="2" t="inlineStr">
        <is>
          <t>NX.KDKCD.006</t>
        </is>
      </c>
      <c r="D1677" s="2" t="inlineStr">
        <is>
          <t>Ноутбук Acer Aspire A317-55P Processor N200/8Gb/SSD512Gb/17.3"/IPS/FHD/NoOs/silver (NX.KDKCD.006)</t>
        </is>
      </c>
      <c r="E1677" s="2">
        <v>81</v>
      </c>
      <c r="F1677" s="2">
        <v>81</v>
      </c>
      <c r="H1677" s="2">
        <v>466</v>
      </c>
      <c r="I1677" s="2" t="inlineStr">
        <is>
          <t>$</t>
        </is>
      </c>
      <c r="J1677" s="2">
        <f>HYPERLINK("https://app.astro.lead-studio.pro/product/20447191-5fbc-42dc-81a1-5c322bb1cdb7")</f>
      </c>
    </row>
    <row r="1678" spans="1:10" customHeight="0">
      <c r="A1678" s="2" t="inlineStr">
        <is>
          <t>Ноутбуки</t>
        </is>
      </c>
      <c r="B1678" s="2" t="inlineStr">
        <is>
          <t>Acer</t>
        </is>
      </c>
      <c r="C1678" s="2" t="inlineStr">
        <is>
          <t>NX.KDKCD.008</t>
        </is>
      </c>
      <c r="D1678" s="2" t="inlineStr">
        <is>
          <t>Ноутбук Acer Aspire A317-55P Core Processor N100/8Gb/SSD256Gb/17.3"/IPS/FHD/NoOS/silver (NX.KDKCD.008)</t>
        </is>
      </c>
      <c r="E1678" s="2">
        <v>100</v>
      </c>
      <c r="F1678" s="2">
        <v>100</v>
      </c>
      <c r="H1678" s="2">
        <v>458</v>
      </c>
      <c r="I1678" s="2" t="inlineStr">
        <is>
          <t>$</t>
        </is>
      </c>
      <c r="J1678" s="2">
        <f>HYPERLINK("https://app.astro.lead-studio.pro/product/78dc111e-b1fd-4aa2-82de-c6d0f1503176")</f>
      </c>
    </row>
    <row r="1679" spans="1:10" customHeight="0">
      <c r="A1679" s="2" t="inlineStr">
        <is>
          <t>Ноутбуки</t>
        </is>
      </c>
      <c r="B1679" s="2" t="inlineStr">
        <is>
          <t>Acer</t>
        </is>
      </c>
      <c r="C1679" s="2" t="inlineStr">
        <is>
          <t>NX.KDKCD.009</t>
        </is>
      </c>
      <c r="D1679" s="2" t="inlineStr">
        <is>
          <t>Ноутбук Acer Aspire A317-55P Core i3-N305/8Gb/SSD512Gb/17.3"/IPS/FHD/NoOS/silver (NX.KDKCD.009)</t>
        </is>
      </c>
      <c r="E1679" s="2">
        <v>100</v>
      </c>
      <c r="F1679" s="2">
        <v>100</v>
      </c>
      <c r="H1679" s="2">
        <v>533</v>
      </c>
      <c r="I1679" s="2" t="inlineStr">
        <is>
          <t>$</t>
        </is>
      </c>
      <c r="J1679" s="2">
        <f>HYPERLINK("https://app.astro.lead-studio.pro/product/1d88e04f-ec05-460a-b58a-9ba5ee81d1d3")</f>
      </c>
    </row>
    <row r="1680" spans="1:10" customHeight="0">
      <c r="A1680" s="2" t="inlineStr">
        <is>
          <t>Ноутбуки</t>
        </is>
      </c>
      <c r="B1680" s="2" t="inlineStr">
        <is>
          <t>Acer</t>
        </is>
      </c>
      <c r="C1680" s="2" t="inlineStr">
        <is>
          <t>NX.KDKCD.009||bp</t>
        </is>
      </c>
      <c r="D1680" s="2" t="inlineStr">
        <is>
          <t>Ноутбук Acer Bad Pack Ноутбук Acer Aspire 3 A317-55P-35KV Intel Core i3-N305/8Gb/SSD512Gb/17.3"/IPS/FHD/60Hz/NoOS/Silver (NX.KDKCD.009) bp</t>
        </is>
      </c>
      <c r="E1680" s="2">
        <v>1</v>
      </c>
      <c r="F1680" s="2">
        <v>1</v>
      </c>
      <c r="H1680" s="2">
        <v>526</v>
      </c>
      <c r="I1680" s="2" t="inlineStr">
        <is>
          <t>$</t>
        </is>
      </c>
      <c r="J1680" s="2">
        <f>HYPERLINK("https://app.astro.lead-studio.pro/product/186b4cde-6c7b-4a7e-b6b3-297d1acebb29")</f>
      </c>
    </row>
    <row r="1681" spans="1:10" customHeight="0">
      <c r="A1681" s="2" t="inlineStr">
        <is>
          <t>Ноутбуки</t>
        </is>
      </c>
      <c r="B1681" s="2" t="inlineStr">
        <is>
          <t>Acer</t>
        </is>
      </c>
      <c r="C1681" s="2" t="inlineStr">
        <is>
          <t>NX.KDKCD.00A</t>
        </is>
      </c>
      <c r="D1681" s="2" t="inlineStr">
        <is>
          <t>Ноутбук Acer Aspire A317-55P Processor N200/8Gb/SSD256Gb/17.3"/IPS/FHD/NoOs/silver (NX.KDKCD.00A)</t>
        </is>
      </c>
      <c r="E1681" s="2">
        <v>2</v>
      </c>
      <c r="F1681" s="2">
        <v>2</v>
      </c>
      <c r="H1681" s="2">
        <v>428</v>
      </c>
      <c r="I1681" s="2" t="inlineStr">
        <is>
          <t>$</t>
        </is>
      </c>
      <c r="J1681" s="2">
        <f>HYPERLINK("https://app.astro.lead-studio.pro/product/b8a68fa5-540f-4138-a63d-a06904055d87")</f>
      </c>
    </row>
    <row r="1682" spans="1:10" customHeight="0">
      <c r="A1682" s="2" t="inlineStr">
        <is>
          <t>Ноутбуки</t>
        </is>
      </c>
      <c r="B1682" s="2" t="inlineStr">
        <is>
          <t>Acer</t>
        </is>
      </c>
      <c r="C1682" s="2" t="inlineStr">
        <is>
          <t>NX.KH6CD.008||bp</t>
        </is>
      </c>
      <c r="D1682" s="2" t="inlineStr">
        <is>
          <t>Ноутбук Acer Aspire A514-56M Core i7-1355U/16Gb/SSD512Gb/14"/IPS/WUXGA/NoOS/Iron (NX.KH6CD.008)</t>
        </is>
      </c>
      <c r="E1682" s="2">
        <v>2</v>
      </c>
      <c r="F1682" s="2">
        <v>2</v>
      </c>
      <c r="H1682" s="2">
        <v>630</v>
      </c>
      <c r="I1682" s="2" t="inlineStr">
        <is>
          <t>$</t>
        </is>
      </c>
      <c r="J1682" s="2">
        <f>HYPERLINK("https://app.astro.lead-studio.pro/product/d2db4493-c935-45bb-a70a-48a6d9fafa2b")</f>
      </c>
    </row>
    <row r="1683" spans="1:10" customHeight="0">
      <c r="A1683" s="2" t="inlineStr">
        <is>
          <t>Ноутбуки</t>
        </is>
      </c>
      <c r="B1683" s="2" t="inlineStr">
        <is>
          <t>Acer</t>
        </is>
      </c>
      <c r="C1683" s="2" t="inlineStr">
        <is>
          <t>NX.KH7CD.006</t>
        </is>
      </c>
      <c r="D1683" s="2" t="inlineStr">
        <is>
          <t>Ноутбук Acer Aspire 5 14A514-56M Core i7-1355U/16Gb/SSD512Gb/14"/WUXGA/IPS/Win11/Iron (NX.KH7CD.006)</t>
        </is>
      </c>
      <c r="E1683" s="2">
        <v>20</v>
      </c>
      <c r="F1683" s="2">
        <v>20</v>
      </c>
      <c r="H1683" s="2">
        <v>839</v>
      </c>
      <c r="I1683" s="2" t="inlineStr">
        <is>
          <t>$</t>
        </is>
      </c>
      <c r="J1683" s="2">
        <f>HYPERLINK("https://app.astro.lead-studio.pro/product/1c3dd480-03e1-48d8-8bf2-a91e0c1281f4")</f>
      </c>
    </row>
    <row r="1684" spans="1:10" customHeight="0">
      <c r="A1684" s="2" t="inlineStr">
        <is>
          <t>Ноутбуки</t>
        </is>
      </c>
      <c r="B1684" s="2" t="inlineStr">
        <is>
          <t>Acer</t>
        </is>
      </c>
      <c r="C1684" s="2" t="inlineStr">
        <is>
          <t>NX.KN3CD.003</t>
        </is>
      </c>
      <c r="D1684" s="2" t="inlineStr">
        <is>
          <t>Ноутбук Acer Aspire 5A515-57 Core i5-12450H/16Gb/SSD1Tb/15,6"/FHD/IPS/noOS/Iron (NX.KN3CD.003)</t>
        </is>
      </c>
      <c r="E1684" s="2">
        <v>20</v>
      </c>
      <c r="F1684" s="2">
        <v>20</v>
      </c>
      <c r="H1684" s="2">
        <v>694</v>
      </c>
      <c r="I1684" s="2" t="inlineStr">
        <is>
          <t>$</t>
        </is>
      </c>
      <c r="J1684" s="2">
        <f>HYPERLINK("https://app.astro.lead-studio.pro/product/8f8b66b7-7190-4b03-96b8-bcf4837da715")</f>
      </c>
    </row>
    <row r="1685" spans="1:10" customHeight="0">
      <c r="A1685" s="2" t="inlineStr">
        <is>
          <t>Ноутбуки</t>
        </is>
      </c>
      <c r="B1685" s="2" t="inlineStr">
        <is>
          <t>Acer</t>
        </is>
      </c>
      <c r="C1685" s="2" t="inlineStr">
        <is>
          <t>NX.KN3CD.004</t>
        </is>
      </c>
      <c r="D1685" s="2" t="inlineStr">
        <is>
          <t>Ноутбук Acer Aspire A515-57 i7-12650H/8Gb/SSD512Gb/15.6"/IPS/FHD/Win11H/iron (NX.KN3CD.004)</t>
        </is>
      </c>
      <c r="E1685" s="2">
        <v>100</v>
      </c>
      <c r="F1685" s="2">
        <v>100</v>
      </c>
      <c r="H1685" s="2">
        <v>802</v>
      </c>
      <c r="I1685" s="2" t="inlineStr">
        <is>
          <t>$</t>
        </is>
      </c>
      <c r="J1685" s="2">
        <f>HYPERLINK("https://app.astro.lead-studio.pro/product/90c8d9e3-1f93-4aca-b749-563c11e2c42e")</f>
      </c>
    </row>
    <row r="1686" spans="1:10" customHeight="0">
      <c r="A1686" s="2" t="inlineStr">
        <is>
          <t>Ноутбуки</t>
        </is>
      </c>
      <c r="B1686" s="2" t="inlineStr">
        <is>
          <t>Acer</t>
        </is>
      </c>
      <c r="C1686" s="2" t="inlineStr">
        <is>
          <t>NX.KN3CD.00J</t>
        </is>
      </c>
      <c r="D1686" s="2" t="inlineStr">
        <is>
          <t>Ноутбук Acer Aspire 5A515-57 Core i5-12450H/16GB/SSD256GB/15.6"/IPS/FHD/NoOS/Iron (NX.KN3CD.00J)</t>
        </is>
      </c>
      <c r="E1686" s="2">
        <v>71</v>
      </c>
      <c r="F1686" s="2">
        <v>71</v>
      </c>
      <c r="H1686" s="2">
        <v>576</v>
      </c>
      <c r="I1686" s="2" t="inlineStr">
        <is>
          <t>$</t>
        </is>
      </c>
      <c r="J1686" s="2">
        <f>HYPERLINK("https://app.astro.lead-studio.pro/product/8dadd31f-2c37-4e1a-8920-2c6624fb7023")</f>
      </c>
    </row>
    <row r="1687" spans="1:10" customHeight="0">
      <c r="A1687" s="2" t="inlineStr">
        <is>
          <t>Ноутбуки</t>
        </is>
      </c>
      <c r="B1687" s="2" t="inlineStr">
        <is>
          <t>Acer</t>
        </is>
      </c>
      <c r="C1687" s="2" t="inlineStr">
        <is>
          <t>NX.KN3CD.00L</t>
        </is>
      </c>
      <c r="D1687" s="2" t="inlineStr">
        <is>
          <t>Ноутбук Acer Aspire 5 15 A515-57-50YA Intel Core i5-12450H/8Gb/SSD512Gb/15.6"/IPS/FHD/60Hz/NoOS/Iron (NX.KN3CD.00L)</t>
        </is>
      </c>
      <c r="E1687" s="2">
        <v>100</v>
      </c>
      <c r="F1687" s="2">
        <v>100</v>
      </c>
      <c r="H1687" s="2">
        <v>553</v>
      </c>
      <c r="I1687" s="2" t="inlineStr">
        <is>
          <t>$</t>
        </is>
      </c>
      <c r="J1687" s="2">
        <f>HYPERLINK("https://app.astro.lead-studio.pro/product/804e5624-93c1-4096-bf02-fdb9d62eaa1c")</f>
      </c>
    </row>
    <row r="1688" spans="1:10" customHeight="0">
      <c r="A1688" s="2" t="inlineStr">
        <is>
          <t>Ноутбуки</t>
        </is>
      </c>
      <c r="B1688" s="2" t="inlineStr">
        <is>
          <t>Acer</t>
        </is>
      </c>
      <c r="C1688" s="2" t="inlineStr">
        <is>
          <t>NX.KN3CD.00M</t>
        </is>
      </c>
      <c r="D1688" s="2" t="inlineStr">
        <is>
          <t>Ноутбук Acer Aspire A515-57 Core i5-12450H/16Gb/SSD512Gb/15.6"/IPS/FHD/NoOS/Iron (NX.KN3CD.00M)</t>
        </is>
      </c>
      <c r="E1688" s="2">
        <v>100</v>
      </c>
      <c r="F1688" s="2">
        <v>100</v>
      </c>
      <c r="H1688" s="2">
        <v>598</v>
      </c>
      <c r="I1688" s="2" t="inlineStr">
        <is>
          <t>$</t>
        </is>
      </c>
      <c r="J1688" s="2">
        <f>HYPERLINK("https://app.astro.lead-studio.pro/product/2fcfdb75-3f95-496a-b33f-6f87a9dd0eb7")</f>
      </c>
    </row>
    <row r="1689" spans="1:10" customHeight="0">
      <c r="A1689" s="2" t="inlineStr">
        <is>
          <t>Ноутбуки</t>
        </is>
      </c>
      <c r="B1689" s="2" t="inlineStr">
        <is>
          <t>Acer</t>
        </is>
      </c>
      <c r="C1689" s="2" t="inlineStr">
        <is>
          <t>NX.KN3CD.00R</t>
        </is>
      </c>
      <c r="D1689" s="2" t="inlineStr">
        <is>
          <t>Ноутбук Acer Aspire A515-57 Core i7-12650H/16Gb/SSD1024Gb/15.6"/IPS/FHD/NoOS/iron (NX.KN3CD.00R)</t>
        </is>
      </c>
      <c r="E1689" s="2">
        <v>100</v>
      </c>
      <c r="F1689" s="2">
        <v>100</v>
      </c>
      <c r="H1689" s="2">
        <v>778</v>
      </c>
      <c r="I1689" s="2" t="inlineStr">
        <is>
          <t>$</t>
        </is>
      </c>
      <c r="J1689" s="2">
        <f>HYPERLINK("https://app.astro.lead-studio.pro/product/be30b997-d572-46ca-9b93-f57bdd1f6356")</f>
      </c>
    </row>
    <row r="1690" spans="1:10" customHeight="0">
      <c r="A1690" s="2" t="inlineStr">
        <is>
          <t>Ноутбуки</t>
        </is>
      </c>
      <c r="B1690" s="2" t="inlineStr">
        <is>
          <t>Acer</t>
        </is>
      </c>
      <c r="C1690" s="2" t="inlineStr">
        <is>
          <t>NX.KN3CD.00S</t>
        </is>
      </c>
      <c r="D1690" s="2" t="inlineStr">
        <is>
          <t>Ноутбук Acer Aspire A515-57 Core i7-12650H/16Gb/SSD512Gb/15.6"/IPS/FHD/NoOS/iron (NX.KN3CD.00S)</t>
        </is>
      </c>
      <c r="E1690" s="2">
        <v>76</v>
      </c>
      <c r="F1690" s="2">
        <v>76</v>
      </c>
      <c r="H1690" s="2">
        <v>726</v>
      </c>
      <c r="I1690" s="2" t="inlineStr">
        <is>
          <t>$</t>
        </is>
      </c>
      <c r="J1690" s="2">
        <f>HYPERLINK("https://app.astro.lead-studio.pro/product/50cf0054-1f49-4cd7-9024-e1cff43e58a8")</f>
      </c>
    </row>
    <row r="1691" spans="1:10" customHeight="0">
      <c r="A1691" s="2" t="inlineStr">
        <is>
          <t>Ноутбуки</t>
        </is>
      </c>
      <c r="B1691" s="2" t="inlineStr">
        <is>
          <t>Acer</t>
        </is>
      </c>
      <c r="C1691" s="2" t="inlineStr">
        <is>
          <t>NX.KTDCD.002</t>
        </is>
      </c>
      <c r="D1691" s="2" t="inlineStr">
        <is>
          <t>Ноутбук Acer Swift Edge SFE16-44 Ryzen 7 8840U/16Gb/SSD1024Gb/16.0"/OLED/WQXGA+/Win11H/black (NX.KTDCD.002)</t>
        </is>
      </c>
      <c r="E1691" s="2">
        <v>6</v>
      </c>
      <c r="F1691" s="2">
        <v>6</v>
      </c>
      <c r="H1691" s="2">
        <v>1158</v>
      </c>
      <c r="I1691" s="2" t="inlineStr">
        <is>
          <t>$</t>
        </is>
      </c>
      <c r="J1691" s="2">
        <f>HYPERLINK("https://app.astro.lead-studio.pro/product/93dcb8c8-72e3-4e9b-9d15-26b7b09de22e")</f>
      </c>
    </row>
    <row r="1692" spans="1:10" customHeight="0">
      <c r="A1692" s="2" t="inlineStr">
        <is>
          <t>Ноутбуки</t>
        </is>
      </c>
      <c r="B1692" s="2" t="inlineStr">
        <is>
          <t>Acer</t>
        </is>
      </c>
      <c r="C1692" s="2" t="inlineStr">
        <is>
          <t>NX.KTDCD.002||bp</t>
        </is>
      </c>
      <c r="D1692" s="2" t="inlineStr">
        <is>
          <t>Ноутбук Acer Bad Pack Ноутбук Acer Swift Edge SFE16-44 AMD Ryzen 7 8840U/16Gb/SSD1024Gb/16"/OLED/QHD+/Win11/black (NX.KTDCD.002) bp</t>
        </is>
      </c>
      <c r="E1692" s="2">
        <v>2</v>
      </c>
      <c r="F1692" s="2">
        <v>2</v>
      </c>
      <c r="H1692" s="2">
        <v>959</v>
      </c>
      <c r="I1692" s="2" t="inlineStr">
        <is>
          <t>$</t>
        </is>
      </c>
      <c r="J1692" s="2">
        <f>HYPERLINK("https://app.astro.lead-studio.pro/product/fafe7064-6308-407d-a274-1cf5eefaa0b5")</f>
      </c>
    </row>
    <row r="1693" spans="1:10" customHeight="0">
      <c r="A1693" s="2" t="inlineStr">
        <is>
          <t>Ноутбуки</t>
        </is>
      </c>
      <c r="B1693" s="2" t="inlineStr">
        <is>
          <t>Acer</t>
        </is>
      </c>
      <c r="C1693" s="2" t="inlineStr">
        <is>
          <t>NX.KUBCD.002</t>
        </is>
      </c>
      <c r="D1693" s="2" t="inlineStr">
        <is>
          <t>Ноутбук Acer Swift SFG16-72-50UC Core Ultra 5 processor 125H/16GB/SSD1024GB/16.0"/IPS/WQXGA/Win11/Iron (NX.KUBCD.002)</t>
        </is>
      </c>
      <c r="E1693" s="2">
        <v>62</v>
      </c>
      <c r="F1693" s="2">
        <v>62</v>
      </c>
      <c r="H1693" s="2">
        <v>882</v>
      </c>
      <c r="I1693" s="2" t="inlineStr">
        <is>
          <t>$</t>
        </is>
      </c>
      <c r="J1693" s="2">
        <f>HYPERLINK("https://app.astro.lead-studio.pro/product/53006c1c-6d70-4656-a569-19dc60d41ddb")</f>
      </c>
    </row>
    <row r="1694" spans="1:10" customHeight="0">
      <c r="A1694" s="2" t="inlineStr">
        <is>
          <t>Ноутбуки</t>
        </is>
      </c>
      <c r="B1694" s="2" t="inlineStr">
        <is>
          <t>Acer</t>
        </is>
      </c>
      <c r="C1694" s="2" t="inlineStr">
        <is>
          <t>NX.KX9CD.001||bp</t>
        </is>
      </c>
      <c r="D1694" s="2" t="inlineStr">
        <is>
          <t>Ноутбук Acer Bad Pack Ноутбук Acer Aspire A15-41M Ryzen 5 8640HS/16Gb/SSD512Gb/15.6"/IPS/FHD/NoOS/Iron (NX.KX9CD.001)
 bp</t>
        </is>
      </c>
      <c r="E1694" s="2">
        <v>1</v>
      </c>
      <c r="F1694" s="2">
        <v>1</v>
      </c>
      <c r="H1694" s="2">
        <v>1853</v>
      </c>
      <c r="I1694" s="2" t="inlineStr">
        <is>
          <t>$</t>
        </is>
      </c>
      <c r="J1694" s="2">
        <f>HYPERLINK("https://app.astro.lead-studio.pro/product/7b6f55f1-27ae-45f6-96b8-aff47c315fa7")</f>
      </c>
    </row>
    <row r="1695" spans="1:10" customHeight="0">
      <c r="A1695" s="2" t="inlineStr">
        <is>
          <t>Ноутбуки</t>
        </is>
      </c>
      <c r="B1695" s="2" t="inlineStr">
        <is>
          <t>Acer</t>
        </is>
      </c>
      <c r="C1695" s="2" t="inlineStr">
        <is>
          <t>NX.KXBCD.003</t>
        </is>
      </c>
      <c r="D1695" s="2" t="inlineStr">
        <is>
          <t>Ноутбук Acer Aspire A15-41M-R78V Ryzen 3 7335U/16Gb/SSD512Gb/15.6"/IPS/FHD/NoOs/iron (NX.KXBCD.003)</t>
        </is>
      </c>
      <c r="E1695" s="2">
        <v>100</v>
      </c>
      <c r="F1695" s="2">
        <v>100</v>
      </c>
      <c r="H1695" s="2">
        <v>551</v>
      </c>
      <c r="I1695" s="2" t="inlineStr">
        <is>
          <t>$</t>
        </is>
      </c>
      <c r="J1695" s="2">
        <f>HYPERLINK("https://app.astro.lead-studio.pro/product/e15486d3-b625-40ad-9dae-0416bdbf1a5e")</f>
      </c>
    </row>
    <row r="1696" spans="1:10" customHeight="0">
      <c r="A1696" s="2" t="inlineStr">
        <is>
          <t>Ноутбуки</t>
        </is>
      </c>
      <c r="B1696" s="2" t="inlineStr">
        <is>
          <t>Acer</t>
        </is>
      </c>
      <c r="C1696" s="2" t="inlineStr">
        <is>
          <t>NX.KXBCD.004</t>
        </is>
      </c>
      <c r="D1696" s="2" t="inlineStr">
        <is>
          <t>Ноутбук Acer Aspire 15 A15-41M-R9RY AMD Ryzen 3 7335U/8Gb/SSD512Gb/15.6"/IPS/FHD/60Hz/NoOS/Iron (NX.KXBCD.004)</t>
        </is>
      </c>
      <c r="E1696" s="2">
        <v>100</v>
      </c>
      <c r="F1696" s="2">
        <v>100</v>
      </c>
      <c r="H1696" s="2">
        <v>529</v>
      </c>
      <c r="I1696" s="2" t="inlineStr">
        <is>
          <t>$</t>
        </is>
      </c>
      <c r="J1696" s="2">
        <f>HYPERLINK("https://app.astro.lead-studio.pro/product/1b5e6afa-ec40-462b-8434-0384945191d4")</f>
      </c>
    </row>
    <row r="1697" spans="1:10" customHeight="0">
      <c r="A1697" s="2" t="inlineStr">
        <is>
          <t>Ноутбуки</t>
        </is>
      </c>
      <c r="B1697" s="2" t="inlineStr">
        <is>
          <t>Acer</t>
        </is>
      </c>
      <c r="C1697" s="2" t="inlineStr">
        <is>
          <t>NX.KXBCD.004||bp</t>
        </is>
      </c>
      <c r="D1697" s="2" t="inlineStr">
        <is>
          <t>Ноутбук Acer Bad Pack Ноутбук Acer Aspire 15 A15-41M-R9RY AMD Ryzen 3 7335U/8Gb/SSD512Gb/15.6"/IPS/FHD/60Hz/NoOS/Iron (NX.KXBCD.004) bp</t>
        </is>
      </c>
      <c r="E1697" s="2">
        <v>2</v>
      </c>
      <c r="F1697" s="2">
        <v>2</v>
      </c>
      <c r="H1697" s="2">
        <v>582</v>
      </c>
      <c r="I1697" s="2" t="inlineStr">
        <is>
          <t>$</t>
        </is>
      </c>
      <c r="J1697" s="2">
        <f>HYPERLINK("https://app.astro.lead-studio.pro/product/ca839723-0eaa-4f23-bb62-bedcf38fe3cc")</f>
      </c>
    </row>
    <row r="1698" spans="1:10" customHeight="0">
      <c r="A1698" s="2" t="inlineStr">
        <is>
          <t>Ноутбуки</t>
        </is>
      </c>
      <c r="B1698" s="2" t="inlineStr">
        <is>
          <t>Acer</t>
        </is>
      </c>
      <c r="C1698" s="2" t="inlineStr">
        <is>
          <t>NX.KXNCD.001</t>
        </is>
      </c>
      <c r="D1698" s="2" t="inlineStr">
        <is>
          <t>Ноутбук Acer Aspire 15 A15-41M-R9GV AMD Ryzen 3 7335U/16Gb/SSD512Gb/15.6"/IPS/FHD/60Hz/NoOS/Iron (NX.KXNCD.001)</t>
        </is>
      </c>
      <c r="E1698" s="2">
        <v>100</v>
      </c>
      <c r="F1698" s="2">
        <v>100</v>
      </c>
      <c r="H1698" s="2">
        <v>535</v>
      </c>
      <c r="I1698" s="2" t="inlineStr">
        <is>
          <t>$</t>
        </is>
      </c>
      <c r="J1698" s="2">
        <f>HYPERLINK("https://app.astro.lead-studio.pro/product/b2e20b89-de9d-4bdb-b267-bcd424415e62")</f>
      </c>
    </row>
    <row r="1699" spans="1:10" customHeight="0">
      <c r="A1699" s="2" t="inlineStr">
        <is>
          <t>Ноутбуки</t>
        </is>
      </c>
      <c r="B1699" s="2" t="inlineStr">
        <is>
          <t>Acer</t>
        </is>
      </c>
      <c r="C1699" s="2" t="inlineStr">
        <is>
          <t>NX.KXNCD.002</t>
        </is>
      </c>
      <c r="D1699" s="2" t="inlineStr">
        <is>
          <t>Ноутбук Acer Aspire 15 A15-41M-R12A AMD Ryzen 3 7335U/8Gb/SSD512Gb/15.6"/IPS/FHD/60Hz/NoOS/Iron (NX.KXNCD.002)</t>
        </is>
      </c>
      <c r="E1699" s="2">
        <v>100</v>
      </c>
      <c r="F1699" s="2">
        <v>100</v>
      </c>
      <c r="H1699" s="2">
        <v>484</v>
      </c>
      <c r="I1699" s="2" t="inlineStr">
        <is>
          <t>$</t>
        </is>
      </c>
      <c r="J1699" s="2">
        <f>HYPERLINK("https://app.astro.lead-studio.pro/product/b7b3b6d6-f4b0-4f2f-aab6-33429f7420e8")</f>
      </c>
    </row>
    <row r="1700" spans="1:10" customHeight="0">
      <c r="A1700" s="2" t="inlineStr">
        <is>
          <t>Ноутбуки</t>
        </is>
      </c>
      <c r="B1700" s="2" t="inlineStr">
        <is>
          <t>Acer</t>
        </is>
      </c>
      <c r="C1700" s="2" t="inlineStr">
        <is>
          <t>NX.KXNCD.007</t>
        </is>
      </c>
      <c r="D1700" s="2" t="inlineStr">
        <is>
          <t>Ноутбук Acer Aspire 15 A15-41M-R4QW AMD Ryzen 7 7735U/16Gb/SSD1024Gb/15.6"/IPS/FHD/60Hz/NoOS/Iron (NX.KXNCD.007)</t>
        </is>
      </c>
      <c r="E1700" s="2">
        <v>58</v>
      </c>
      <c r="F1700" s="2">
        <v>58</v>
      </c>
      <c r="H1700" s="2">
        <v>700</v>
      </c>
      <c r="I1700" s="2" t="inlineStr">
        <is>
          <t>$</t>
        </is>
      </c>
      <c r="J1700" s="2">
        <f>HYPERLINK("https://app.astro.lead-studio.pro/product/5f6a7202-190d-4f59-97f1-e74567826b66")</f>
      </c>
    </row>
    <row r="1701" spans="1:10" customHeight="0">
      <c r="A1701" s="2" t="inlineStr">
        <is>
          <t>Ноутбуки</t>
        </is>
      </c>
      <c r="B1701" s="2" t="inlineStr">
        <is>
          <t>Acer</t>
        </is>
      </c>
      <c r="C1701" s="2" t="inlineStr">
        <is>
          <t>NX.KXRCD.007</t>
        </is>
      </c>
      <c r="D1701" s="2" t="inlineStr">
        <is>
          <t>Ноутбук Acer Aspire 15 A15-51M-74HF Intel Core 7 150U/16Gb/SSD512Gb/15.6"/IPS/FHD/60Hz/NoOS/Iron (NX.KXRCD.007)</t>
        </is>
      </c>
      <c r="E1701" s="2">
        <v>100</v>
      </c>
      <c r="F1701" s="2">
        <v>100</v>
      </c>
      <c r="H1701" s="2">
        <v>680</v>
      </c>
      <c r="I1701" s="2" t="inlineStr">
        <is>
          <t>$</t>
        </is>
      </c>
      <c r="J1701" s="2">
        <f>HYPERLINK("https://app.astro.lead-studio.pro/product/cb6606f0-c500-45c9-8cfb-e00d604600f8")</f>
      </c>
    </row>
    <row r="1702" spans="1:10" customHeight="0">
      <c r="A1702" s="2" t="inlineStr">
        <is>
          <t>Ноутбуки</t>
        </is>
      </c>
      <c r="B1702" s="2" t="inlineStr">
        <is>
          <t>ACD</t>
        </is>
      </c>
      <c r="C1702" s="2" t="inlineStr">
        <is>
          <t>AH14PI2262LS</t>
        </is>
      </c>
      <c r="D1702" s="2" t="inlineStr">
        <is>
          <t>Ноутбук ACD 14Pro Intel Core i5-1235U/16GB/SSD512GB/IPS/UXGA/NoOS/grey (AH14PI2262LS)</t>
        </is>
      </c>
      <c r="E1702" s="2">
        <v>100</v>
      </c>
      <c r="F1702" s="2">
        <v>100</v>
      </c>
      <c r="H1702" s="2">
        <v>614</v>
      </c>
      <c r="I1702" s="2" t="inlineStr">
        <is>
          <t>$</t>
        </is>
      </c>
      <c r="J1702" s="2">
        <f>HYPERLINK("https://app.astro.lead-studio.pro/product/5d7599ad-5172-4fb7-a1ba-53d13162e6fc")</f>
      </c>
    </row>
    <row r="1703" spans="1:10" customHeight="0">
      <c r="A1703" s="2" t="inlineStr">
        <is>
          <t>Ноутбуки</t>
        </is>
      </c>
      <c r="B1703" s="2" t="inlineStr">
        <is>
          <t>ACD</t>
        </is>
      </c>
      <c r="C1703" s="2" t="inlineStr">
        <is>
          <t>AH14PI2286LS</t>
        </is>
      </c>
      <c r="D1703" s="2" t="inlineStr">
        <is>
          <t>Ноутбук ACD 14Pro Intel Core i5-1235U/8GB/SSD256GB/IPS/UXGA/NoOS/grey (AH14PI2286LS)</t>
        </is>
      </c>
      <c r="E1703" s="2">
        <v>100</v>
      </c>
      <c r="F1703" s="2">
        <v>100</v>
      </c>
      <c r="H1703" s="2">
        <v>462</v>
      </c>
      <c r="I1703" s="2" t="inlineStr">
        <is>
          <t>$</t>
        </is>
      </c>
      <c r="J1703" s="2">
        <f>HYPERLINK("https://app.astro.lead-studio.pro/product/0e77bbf8-c273-4728-98df-e189e85814d8")</f>
      </c>
    </row>
    <row r="1704" spans="1:10" customHeight="0">
      <c r="A1704" s="2" t="inlineStr">
        <is>
          <t>Ноутбуки</t>
        </is>
      </c>
      <c r="B1704" s="2" t="inlineStr">
        <is>
          <t>ACD</t>
        </is>
      </c>
      <c r="C1704" s="2" t="inlineStr">
        <is>
          <t>AH14PI3262LS</t>
        </is>
      </c>
      <c r="D1704" s="2" t="inlineStr">
        <is>
          <t>Ноутбук ACD 14Pro Intel Core i7-1255U/16GB/SSD512GB/IPS/UXGA/NoOS/grey (AH14PI3262LS)</t>
        </is>
      </c>
      <c r="E1704" s="2">
        <v>93</v>
      </c>
      <c r="F1704" s="2">
        <v>93</v>
      </c>
      <c r="H1704" s="2">
        <v>583</v>
      </c>
      <c r="I1704" s="2" t="inlineStr">
        <is>
          <t>$</t>
        </is>
      </c>
      <c r="J1704" s="2">
        <f>HYPERLINK("https://app.astro.lead-studio.pro/product/18110e2e-335e-4424-b1e8-f4dbf5ef3af2")</f>
      </c>
    </row>
    <row r="1705" spans="1:10" customHeight="0">
      <c r="A1705" s="2" t="inlineStr">
        <is>
          <t>Ноутбуки</t>
        </is>
      </c>
      <c r="B1705" s="2" t="inlineStr">
        <is>
          <t>ACD</t>
        </is>
      </c>
      <c r="C1705" s="2" t="inlineStr">
        <is>
          <t>AH14PI32P62LS</t>
        </is>
      </c>
      <c r="D1705" s="2" t="inlineStr">
        <is>
          <t>Ноутбук ACD 14 Pro I7-1260P/16GB/SSD512GB/14"/Full HD (1920x1080)/IPS/NoOS/silver</t>
        </is>
      </c>
      <c r="E1705" s="2">
        <v>42</v>
      </c>
      <c r="F1705" s="2">
        <v>42</v>
      </c>
      <c r="H1705" s="2">
        <v>598</v>
      </c>
      <c r="I1705" s="2" t="inlineStr">
        <is>
          <t>$</t>
        </is>
      </c>
      <c r="J1705" s="2">
        <f>HYPERLINK("https://app.astro.lead-studio.pro/product/ed4bddde-2f7b-4541-a5f0-008b5cf34a5e")</f>
      </c>
    </row>
    <row r="1706" spans="1:10" customHeight="0">
      <c r="A1706" s="2" t="inlineStr">
        <is>
          <t>Ноутбуки</t>
        </is>
      </c>
      <c r="B1706" s="2" t="inlineStr">
        <is>
          <t>ACD</t>
        </is>
      </c>
      <c r="C1706" s="2" t="inlineStr">
        <is>
          <t>AH14SI1386WDB</t>
        </is>
      </c>
      <c r="D1706" s="2" t="inlineStr">
        <is>
          <t>Ноутбук ACD 14S G2 Intel Core i3-1315U/8Gb/SSD256Gb/14"/IPS/FHD/NoOS/black (AH14SI1386WDB)</t>
        </is>
      </c>
      <c r="E1706" s="2">
        <v>1</v>
      </c>
      <c r="F1706" s="2">
        <v>1</v>
      </c>
      <c r="H1706" s="2">
        <v>383</v>
      </c>
      <c r="I1706" s="2" t="inlineStr">
        <is>
          <t>$</t>
        </is>
      </c>
      <c r="J1706" s="2">
        <f>HYPERLINK("https://app.astro.lead-studio.pro/product/f1b336f1-2fc8-4b82-b77c-b0cca0b9e21d")</f>
      </c>
    </row>
    <row r="1707" spans="1:10" customHeight="0">
      <c r="A1707" s="2" t="inlineStr">
        <is>
          <t>Ноутбуки</t>
        </is>
      </c>
      <c r="B1707" s="2" t="inlineStr">
        <is>
          <t>ACD</t>
        </is>
      </c>
      <c r="C1707" s="2" t="inlineStr">
        <is>
          <t>AH14SI2286WS</t>
        </is>
      </c>
      <c r="D1707" s="2" t="inlineStr">
        <is>
          <t>Ноутбук ACD 14S Intel Core i5-1235U/8Gb/SSD256Gb/14"/IPS/FHD/NoOS/silver (AH14SI2286WS)</t>
        </is>
      </c>
      <c r="E1707" s="2">
        <v>100</v>
      </c>
      <c r="F1707" s="2">
        <v>100</v>
      </c>
      <c r="H1707" s="2">
        <v>396</v>
      </c>
      <c r="I1707" s="2" t="inlineStr">
        <is>
          <t>$</t>
        </is>
      </c>
      <c r="J1707" s="2">
        <f>HYPERLINK("https://app.astro.lead-studio.pro/product/f7cb9103-bfec-45ad-8654-a4af340d5ffe")</f>
      </c>
    </row>
    <row r="1708" spans="1:10" customHeight="0">
      <c r="A1708" s="2" t="inlineStr">
        <is>
          <t>Ноутбуки</t>
        </is>
      </c>
      <c r="B1708" s="2" t="inlineStr">
        <is>
          <t>ACD</t>
        </is>
      </c>
      <c r="C1708" s="2" t="inlineStr">
        <is>
          <t>AH14SI2386WDB</t>
        </is>
      </c>
      <c r="D1708" s="2" t="inlineStr">
        <is>
          <t>Ноутбук ACD 14S G2 Intel Core i5-1335U/8Gb/SSD256Gb/14"/IPS/FHD/NoOS/black (AH14SI2386WDB)</t>
        </is>
      </c>
      <c r="E1708" s="2">
        <v>24</v>
      </c>
      <c r="F1708" s="2">
        <v>24</v>
      </c>
      <c r="H1708" s="2">
        <v>466</v>
      </c>
      <c r="I1708" s="2" t="inlineStr">
        <is>
          <t>$</t>
        </is>
      </c>
      <c r="J1708" s="2">
        <f>HYPERLINK("https://app.astro.lead-studio.pro/product/79e31e16-f9bb-4e45-ac47-ac5165854166")</f>
      </c>
    </row>
    <row r="1709" spans="1:10" customHeight="0">
      <c r="A1709" s="2" t="inlineStr">
        <is>
          <t>Ноутбуки</t>
        </is>
      </c>
      <c r="B1709" s="2" t="inlineStr">
        <is>
          <t>Lime</t>
        </is>
      </c>
      <c r="C1709" s="2" t="inlineStr">
        <is>
          <t>Station30577892</t>
        </is>
      </c>
      <c r="D1709" s="2" t="inlineStr">
        <is>
          <t>Ноутбук Lime Station 305 (15,6" IPS FHD, Intel Core i3-9100T, RAM 8Gb, SSD 240Gb, Wi-Fi, BT, Web Cam, DVD, Win10)</t>
        </is>
      </c>
      <c r="E1709" s="2">
        <v>1</v>
      </c>
      <c r="F1709" s="2">
        <v>1</v>
      </c>
      <c r="H1709" s="2">
        <v>826</v>
      </c>
      <c r="I1709" s="2" t="inlineStr">
        <is>
          <t>$</t>
        </is>
      </c>
      <c r="J1709" s="2">
        <f>HYPERLINK("https://app.astro.lead-studio.pro/product/30220800-437a-4cbe-80bb-9326dcf10e19")</f>
      </c>
    </row>
    <row r="1710" spans="1:10" customHeight="0">
      <c r="A1710" s="2" t="inlineStr">
        <is>
          <t>Ноутбуки</t>
        </is>
      </c>
      <c r="B1710" s="2" t="inlineStr">
        <is>
          <t>Lenovo</t>
        </is>
      </c>
      <c r="C1710" s="2" t="inlineStr">
        <is>
          <t>21KG0073RU</t>
        </is>
      </c>
      <c r="D1710" s="2" t="inlineStr">
        <is>
          <t>Ноутбук Lenovo ThinkBook 14 G6 IRL Core i7-13700H/16Gb/SSD512Gb/14.0"/IPS/WUXGA/Win11Pro/grey  (21KG0073RU)</t>
        </is>
      </c>
      <c r="E1710" s="2">
        <v>19</v>
      </c>
      <c r="F1710" s="2">
        <v>19</v>
      </c>
      <c r="H1710" s="2">
        <v>1402</v>
      </c>
      <c r="I1710" s="2" t="inlineStr">
        <is>
          <t>$</t>
        </is>
      </c>
      <c r="J1710" s="2">
        <f>HYPERLINK("https://app.astro.lead-studio.pro/product/e98bcb95-7a85-458e-a789-45b712cb541c")</f>
      </c>
    </row>
    <row r="1711" spans="1:10" customHeight="0">
      <c r="A1711" s="2" t="inlineStr">
        <is>
          <t>Ноутбуки</t>
        </is>
      </c>
      <c r="B1711" s="2" t="inlineStr">
        <is>
          <t>Lenovo</t>
        </is>
      </c>
      <c r="C1711" s="2" t="inlineStr">
        <is>
          <t>21KH007VRU</t>
        </is>
      </c>
      <c r="D1711" s="2" t="inlineStr">
        <is>
          <t>Ноутбук Lenovo ThinkBook 16 G6 IRL Core i7-13700H/16Gb/SSD512Gb/16.0"/IPS/WUXGA/NoOS/grey  (21KH007VRU)</t>
        </is>
      </c>
      <c r="E1711" s="2">
        <v>33</v>
      </c>
      <c r="F1711" s="2">
        <v>33</v>
      </c>
      <c r="H1711" s="2">
        <v>1251</v>
      </c>
      <c r="I1711" s="2" t="inlineStr">
        <is>
          <t>$</t>
        </is>
      </c>
      <c r="J1711" s="2">
        <f>HYPERLINK("https://app.astro.lead-studio.pro/product/d323323b-c2e2-40e1-a7ac-1a9e2fc017c1")</f>
      </c>
    </row>
    <row r="1712" spans="1:10" customHeight="0">
      <c r="A1712" s="2" t="inlineStr">
        <is>
          <t>Ноутбуки</t>
        </is>
      </c>
      <c r="B1712" s="2" t="inlineStr">
        <is>
          <t>Lenovo</t>
        </is>
      </c>
      <c r="C1712" s="2" t="inlineStr">
        <is>
          <t>21KH00B7AU</t>
        </is>
      </c>
      <c r="D1712" s="2" t="inlineStr">
        <is>
          <t>Ноутбук Lenovo ThinkBook 16 G6 IRL Intel Core i7-1355U/16Gb/SSD512Gb/16"/IPS/FHD+/60Hz/Win11/Arctic Grey (21KH00B7AU)</t>
        </is>
      </c>
      <c r="E1712" s="2">
        <v>92</v>
      </c>
      <c r="F1712" s="2">
        <v>92</v>
      </c>
      <c r="H1712" s="2">
        <v>1161</v>
      </c>
      <c r="I1712" s="2" t="inlineStr">
        <is>
          <t>$</t>
        </is>
      </c>
      <c r="J1712" s="2">
        <f>HYPERLINK("https://app.astro.lead-studio.pro/product/97e3bb47-787f-45dc-8d30-0535ae942334")</f>
      </c>
    </row>
    <row r="1713" spans="1:10" customHeight="0">
      <c r="A1713" s="2" t="inlineStr">
        <is>
          <t>Ноутбуки</t>
        </is>
      </c>
      <c r="B1713" s="2" t="inlineStr">
        <is>
          <t>Lenovo</t>
        </is>
      </c>
      <c r="C1713" s="2" t="inlineStr">
        <is>
          <t>21KH00B7AU||bp</t>
        </is>
      </c>
      <c r="D1713" s="2" t="inlineStr">
        <is>
          <t>Ноутбук Lenovo Bad Pack Ноутбук Lenovo ThinkBook 16 G6 IRL Intel Core i7-1355U/16Gb/SSD512Gb/16"/IPS/FHD+/60Hz/Win11/Arctic Grey (21KH00B7AU) bp</t>
        </is>
      </c>
      <c r="E1713" s="2">
        <v>3</v>
      </c>
      <c r="F1713" s="2">
        <v>3</v>
      </c>
      <c r="H1713" s="2">
        <v>940</v>
      </c>
      <c r="I1713" s="2" t="inlineStr">
        <is>
          <t>$</t>
        </is>
      </c>
      <c r="J1713" s="2">
        <f>HYPERLINK("https://app.astro.lead-studio.pro/product/0b835dc0-db13-426d-b063-d78dc8a441e4")</f>
      </c>
    </row>
    <row r="1714" spans="1:10" customHeight="0">
      <c r="A1714" s="2" t="inlineStr">
        <is>
          <t>Ноутбуки</t>
        </is>
      </c>
      <c r="B1714" s="2" t="inlineStr">
        <is>
          <t>Lenovo</t>
        </is>
      </c>
      <c r="C1714" s="2" t="inlineStr">
        <is>
          <t>21M7002WRT</t>
        </is>
      </c>
      <c r="D1714" s="2" t="inlineStr">
        <is>
          <t>Ноутбук Lenovo ThinkPad E14 Gen 6 Intel Core Ultra 7 155H/16Gb/SSD1Tb/Intel Arc Graphics/14"/IPS/FHD+/Win11Pro/black (21M7002WRT)</t>
        </is>
      </c>
      <c r="E1714" s="2">
        <v>27</v>
      </c>
      <c r="F1714" s="2">
        <v>27</v>
      </c>
      <c r="H1714" s="2">
        <v>1591</v>
      </c>
      <c r="I1714" s="2" t="inlineStr">
        <is>
          <t>$</t>
        </is>
      </c>
      <c r="J1714" s="2">
        <f>HYPERLINK("https://app.astro.lead-studio.pro/product/3e038860-c25d-4446-bd43-a0eec36084e4")</f>
      </c>
    </row>
    <row r="1715" spans="1:10" customHeight="0">
      <c r="A1715" s="2" t="inlineStr">
        <is>
          <t>Ноутбуки</t>
        </is>
      </c>
      <c r="B1715" s="2" t="inlineStr">
        <is>
          <t>Lenovo</t>
        </is>
      </c>
      <c r="C1715" s="2" t="inlineStr">
        <is>
          <t>21M8S0WG00</t>
        </is>
      </c>
      <c r="D1715" s="2" t="inlineStr">
        <is>
          <t>Ноутбук Lenovo ThinkPad E14 Gen6 Core Ultra 5 125U/8Gb/SSD512Gb/14.0"/IPS/WUXGA/NoOs/black (21M8S0WG00)</t>
        </is>
      </c>
      <c r="E1715" s="2">
        <v>92</v>
      </c>
      <c r="F1715" s="2">
        <v>92</v>
      </c>
      <c r="H1715" s="2">
        <v>983</v>
      </c>
      <c r="I1715" s="2" t="inlineStr">
        <is>
          <t>$</t>
        </is>
      </c>
      <c r="J1715" s="2">
        <f>HYPERLINK("https://app.astro.lead-studio.pro/product/e8e73d0b-e3d7-4604-aa11-2a7de836d401")</f>
      </c>
    </row>
    <row r="1716" spans="1:10" customHeight="0">
      <c r="A1716" s="2" t="inlineStr">
        <is>
          <t>Ноутбуки</t>
        </is>
      </c>
      <c r="B1716" s="2" t="inlineStr">
        <is>
          <t>Lenovo</t>
        </is>
      </c>
      <c r="C1716" s="2" t="inlineStr">
        <is>
          <t>21M8S0WH00</t>
        </is>
      </c>
      <c r="D1716" s="2" t="inlineStr">
        <is>
          <t>Ноутбук Lenovo ThinkPad E14 Gen6 Core Ultra 5 125U/8Gb/SSD256Gb/14.0"/IPS/WUXGA/NoOs/black (21M8S0WH00)</t>
        </is>
      </c>
      <c r="E1716" s="2">
        <v>93</v>
      </c>
      <c r="F1716" s="2">
        <v>93</v>
      </c>
      <c r="H1716" s="2">
        <v>940</v>
      </c>
      <c r="I1716" s="2" t="inlineStr">
        <is>
          <t>$</t>
        </is>
      </c>
      <c r="J1716" s="2">
        <f>HYPERLINK("https://app.astro.lead-studio.pro/product/7ccc7cf3-10db-4235-8b04-f738485c0c3f")</f>
      </c>
    </row>
    <row r="1717" spans="1:10" customHeight="0">
      <c r="A1717" s="2" t="inlineStr">
        <is>
          <t>Ноутбуки</t>
        </is>
      </c>
      <c r="B1717" s="2" t="inlineStr">
        <is>
          <t>Lenovo</t>
        </is>
      </c>
      <c r="C1717" s="2" t="inlineStr">
        <is>
          <t>21M8S0WJ00</t>
        </is>
      </c>
      <c r="D1717" s="2" t="inlineStr">
        <is>
          <t>Ноутбук Lenovo ThinkPad E14 Gen6 Core Ultra 5 125U/16Gb/SSD512Gb/14.0"/IPS/WUXGA/NoOs/black (21M8S0WJ00)</t>
        </is>
      </c>
      <c r="E1717" s="2">
        <v>41</v>
      </c>
      <c r="F1717" s="2">
        <v>41</v>
      </c>
      <c r="H1717" s="2">
        <v>1025</v>
      </c>
      <c r="I1717" s="2" t="inlineStr">
        <is>
          <t>$</t>
        </is>
      </c>
      <c r="J1717" s="2">
        <f>HYPERLINK("https://app.astro.lead-studio.pro/product/26ec30b0-44e8-4a91-a87a-7ceba6c84098")</f>
      </c>
    </row>
    <row r="1718" spans="1:10" customHeight="0">
      <c r="A1718" s="2" t="inlineStr">
        <is>
          <t>Ноутбуки</t>
        </is>
      </c>
      <c r="B1718" s="2" t="inlineStr">
        <is>
          <t>Lenovo</t>
        </is>
      </c>
      <c r="C1718" s="2" t="inlineStr">
        <is>
          <t>21MA004VRT</t>
        </is>
      </c>
      <c r="D1718" s="2" t="inlineStr">
        <is>
          <t>Ноутбук Lenovo ThinkPad E16 Gen 2 Core Ultra 5 125U/16Gb/SSD512Gb/16.0"/IPS/WUXGA/NoOs/black  (21MA004VRT)</t>
        </is>
      </c>
      <c r="E1718" s="2">
        <v>60</v>
      </c>
      <c r="F1718" s="2">
        <v>60</v>
      </c>
      <c r="H1718" s="2">
        <v>929</v>
      </c>
      <c r="I1718" s="2" t="inlineStr">
        <is>
          <t>$</t>
        </is>
      </c>
      <c r="J1718" s="2">
        <f>HYPERLINK("https://app.astro.lead-studio.pro/product/c9994d11-a914-40c3-9149-bc45011bdc09")</f>
      </c>
    </row>
    <row r="1719" spans="1:10" customHeight="0">
      <c r="A1719" s="2" t="inlineStr">
        <is>
          <t>Ноутбуки</t>
        </is>
      </c>
      <c r="B1719" s="2" t="inlineStr">
        <is>
          <t>Lenovo</t>
        </is>
      </c>
      <c r="C1719" s="2" t="inlineStr">
        <is>
          <t>21MR0046RU</t>
        </is>
      </c>
      <c r="D1719" s="2" t="inlineStr">
        <is>
          <t>Ноутбук Lenovo ThinkBook 14 G7 IML Core Ultra 5 125U/16Gb/SSD512Gb/14.0"/IPS/WUXGA/Win11Pro/grey  (21MR0046RU)</t>
        </is>
      </c>
      <c r="E1719" s="2">
        <v>57</v>
      </c>
      <c r="F1719" s="2">
        <v>57</v>
      </c>
      <c r="H1719" s="2">
        <v>1152</v>
      </c>
      <c r="I1719" s="2" t="inlineStr">
        <is>
          <t>$</t>
        </is>
      </c>
      <c r="J1719" s="2">
        <f>HYPERLINK("https://app.astro.lead-studio.pro/product/0a0a118b-e05d-41e7-81d7-eb05067ae92f")</f>
      </c>
    </row>
    <row r="1720" spans="1:10" customHeight="0">
      <c r="A1720" s="2" t="inlineStr">
        <is>
          <t>Ноутбуки</t>
        </is>
      </c>
      <c r="B1720" s="2" t="inlineStr">
        <is>
          <t>Lenovo</t>
        </is>
      </c>
      <c r="C1720" s="2" t="inlineStr">
        <is>
          <t>21MR0047RU</t>
        </is>
      </c>
      <c r="D1720" s="2" t="inlineStr">
        <is>
          <t>Ноутбук Lenovo ThinkBook 14 G7 IML Core Ultra 5 125U/16Gb/SSD512Gb/14.0"/IPS/WUXGA/Win11Pro/grey  (21MR0047RU)</t>
        </is>
      </c>
      <c r="E1720" s="2">
        <v>94</v>
      </c>
      <c r="F1720" s="2">
        <v>94</v>
      </c>
      <c r="H1720" s="2">
        <v>1179</v>
      </c>
      <c r="I1720" s="2" t="inlineStr">
        <is>
          <t>$</t>
        </is>
      </c>
      <c r="J1720" s="2">
        <f>HYPERLINK("https://app.astro.lead-studio.pro/product/7b95336b-966f-42c0-bbe1-0fe5979d58d5")</f>
      </c>
    </row>
    <row r="1721" spans="1:10" customHeight="0">
      <c r="A1721" s="2" t="inlineStr">
        <is>
          <t>Ноутбуки</t>
        </is>
      </c>
      <c r="B1721" s="2" t="inlineStr">
        <is>
          <t>Lenovo</t>
        </is>
      </c>
      <c r="C1721" s="2" t="inlineStr">
        <is>
          <t>21MR0047RU||bp</t>
        </is>
      </c>
      <c r="D1721" s="2" t="inlineStr">
        <is>
          <t>Ноутбук Lenovo Bad Pack Ноутбук Lenovo ThinkBook 14 G7 IML Intel Core Ultra 5 125U/16Gb/SSD512Gb/14"/IPS/FHD+/60Hz/Win11Pro/grey (21MR0047RU) bp</t>
        </is>
      </c>
      <c r="E1721" s="2">
        <v>5</v>
      </c>
      <c r="F1721" s="2">
        <v>5</v>
      </c>
      <c r="H1721" s="2">
        <v>1078</v>
      </c>
      <c r="I1721" s="2" t="inlineStr">
        <is>
          <t>$</t>
        </is>
      </c>
      <c r="J1721" s="2">
        <f>HYPERLINK("https://app.astro.lead-studio.pro/product/3c85618f-caac-463e-ae16-5b82f365934b")</f>
      </c>
    </row>
    <row r="1722" spans="1:10" customHeight="0">
      <c r="A1722" s="2" t="inlineStr">
        <is>
          <t>Ноутбуки</t>
        </is>
      </c>
      <c r="B1722" s="2" t="inlineStr">
        <is>
          <t>Lenovo</t>
        </is>
      </c>
      <c r="C1722" s="2" t="inlineStr">
        <is>
          <t>21MR004BRU</t>
        </is>
      </c>
      <c r="D1722" s="2" t="inlineStr">
        <is>
          <t>Ноутбук Lenovo ThinkBook 14 G7 IML Core Ultra 7 155H/16Gb/SSD512Gb/14.0"/IPS/WUXGA/Win11Pro/grey  (21MR004BRU)</t>
        </is>
      </c>
      <c r="E1722" s="2">
        <v>35</v>
      </c>
      <c r="F1722" s="2">
        <v>35</v>
      </c>
      <c r="H1722" s="2">
        <v>1445</v>
      </c>
      <c r="I1722" s="2" t="inlineStr">
        <is>
          <t>$</t>
        </is>
      </c>
      <c r="J1722" s="2">
        <f>HYPERLINK("https://app.astro.lead-studio.pro/product/52419983-b377-4e9d-a4ca-d9b8783c1161")</f>
      </c>
    </row>
    <row r="1723" spans="1:10" customHeight="0">
      <c r="A1723" s="2" t="inlineStr">
        <is>
          <t>Ноутбуки</t>
        </is>
      </c>
      <c r="B1723" s="2" t="inlineStr">
        <is>
          <t>Lenovo</t>
        </is>
      </c>
      <c r="C1723" s="2" t="inlineStr">
        <is>
          <t>21MR004RRU</t>
        </is>
      </c>
      <c r="D1723" s="2" t="inlineStr">
        <is>
          <t>Ноутбук Lenovo ThinkBook 14 G7 IML Core Ultra 5 125U/8Gb/SSD256Gb/14.0"/IPS/WUXGA/NoOs/grey  (21MR004RRU)</t>
        </is>
      </c>
      <c r="E1723" s="2">
        <v>49</v>
      </c>
      <c r="F1723" s="2">
        <v>49</v>
      </c>
      <c r="H1723" s="2">
        <v>886</v>
      </c>
      <c r="I1723" s="2" t="inlineStr">
        <is>
          <t>$</t>
        </is>
      </c>
      <c r="J1723" s="2">
        <f>HYPERLINK("https://app.astro.lead-studio.pro/product/800e2d7b-95ba-4343-bbc3-f8dae16467df")</f>
      </c>
    </row>
    <row r="1724" spans="1:10" customHeight="0">
      <c r="A1724" s="2" t="inlineStr">
        <is>
          <t>Ноутбуки</t>
        </is>
      </c>
      <c r="B1724" s="2" t="inlineStr">
        <is>
          <t>Lenovo</t>
        </is>
      </c>
      <c r="C1724" s="2" t="inlineStr">
        <is>
          <t>21MR004RRU||bp</t>
        </is>
      </c>
      <c r="D1724" s="2" t="inlineStr">
        <is>
          <t>Ноутбук Lenovo Bad Pack Ноутбук Lenovo ThinkBook 14 G7 IML Intel Core Ultra 5 125U/8Gb/SSD256Gb/14"/IPS/FHD+/60Hz/NoOS/grey (21MR004RRU) bp</t>
        </is>
      </c>
      <c r="E1724" s="2">
        <v>1</v>
      </c>
      <c r="F1724" s="2">
        <v>1</v>
      </c>
      <c r="H1724" s="2">
        <v>802</v>
      </c>
      <c r="I1724" s="2" t="inlineStr">
        <is>
          <t>$</t>
        </is>
      </c>
      <c r="J1724" s="2">
        <f>HYPERLINK("https://app.astro.lead-studio.pro/product/dea08790-6a6e-41ab-b9b4-f59df6b862f4")</f>
      </c>
    </row>
    <row r="1725" spans="1:10" customHeight="0">
      <c r="A1725" s="2" t="inlineStr">
        <is>
          <t>Ноутбуки</t>
        </is>
      </c>
      <c r="B1725" s="2" t="inlineStr">
        <is>
          <t>Lenovo</t>
        </is>
      </c>
      <c r="C1725" s="2" t="inlineStr">
        <is>
          <t>21MR0095RU</t>
        </is>
      </c>
      <c r="D1725" s="2" t="inlineStr">
        <is>
          <t>Ноутбук Lenovo ThinkBook 14 G7 IML Core Ultra 5 125U/16Gb/SSD512Gb/14.0"/IPS/WUXGA/NoOs/grey  (21MR0095RU)</t>
        </is>
      </c>
      <c r="E1725" s="2">
        <v>54</v>
      </c>
      <c r="F1725" s="2">
        <v>54</v>
      </c>
      <c r="H1725" s="2">
        <v>956</v>
      </c>
      <c r="I1725" s="2" t="inlineStr">
        <is>
          <t>$</t>
        </is>
      </c>
      <c r="J1725" s="2">
        <f>HYPERLINK("https://app.astro.lead-studio.pro/product/a5d10e08-be9a-4cb0-8c4f-7dd176e8bb1f")</f>
      </c>
    </row>
    <row r="1726" spans="1:10" customHeight="0">
      <c r="A1726" s="2" t="inlineStr">
        <is>
          <t>Ноутбуки</t>
        </is>
      </c>
      <c r="B1726" s="2" t="inlineStr">
        <is>
          <t>Lenovo</t>
        </is>
      </c>
      <c r="C1726" s="2" t="inlineStr">
        <is>
          <t>21MS0045RU</t>
        </is>
      </c>
      <c r="D1726" s="2" t="inlineStr">
        <is>
          <t>Ноутбук Lenovo ThinkBook 16 G7 IML Core Ultra 5 125U/16Gb/SSD512Gb/16.0"/IPS/WUXGA/Win11Pro/grey  (21MS0045RU)</t>
        </is>
      </c>
      <c r="E1726" s="2">
        <v>100</v>
      </c>
      <c r="F1726" s="2">
        <v>100</v>
      </c>
      <c r="H1726" s="2">
        <v>1146</v>
      </c>
      <c r="I1726" s="2" t="inlineStr">
        <is>
          <t>$</t>
        </is>
      </c>
      <c r="J1726" s="2">
        <f>HYPERLINK("https://app.astro.lead-studio.pro/product/70f1f3b5-fed2-43fc-a154-a4fbefcfb409")</f>
      </c>
    </row>
    <row r="1727" spans="1:10" customHeight="0">
      <c r="A1727" s="2" t="inlineStr">
        <is>
          <t>Ноутбуки</t>
        </is>
      </c>
      <c r="B1727" s="2" t="inlineStr">
        <is>
          <t>Lenovo</t>
        </is>
      </c>
      <c r="C1727" s="2" t="inlineStr">
        <is>
          <t>21MS0045RU||bp</t>
        </is>
      </c>
      <c r="D1727" s="2" t="inlineStr">
        <is>
          <t>Ноутбук Lenovo Bad Pack Ноутбук Lenovo ThinkBook 16 G7 IML Intel Core Ultra 5 125U/16Gb/SSD512Gb/16"/IPS/FHD+/60Hz/Win11Pro/grey (21MS0045RU) bp</t>
        </is>
      </c>
      <c r="E1727" s="2">
        <v>4</v>
      </c>
      <c r="F1727" s="2">
        <v>4</v>
      </c>
      <c r="H1727" s="2">
        <v>1077</v>
      </c>
      <c r="I1727" s="2" t="inlineStr">
        <is>
          <t>$</t>
        </is>
      </c>
      <c r="J1727" s="2">
        <f>HYPERLINK("https://app.astro.lead-studio.pro/product/be0d051e-57e9-44d0-b76d-c131e210acbe")</f>
      </c>
    </row>
    <row r="1728" spans="1:10" customHeight="0">
      <c r="A1728" s="2" t="inlineStr">
        <is>
          <t>Ноутбуки</t>
        </is>
      </c>
      <c r="B1728" s="2" t="inlineStr">
        <is>
          <t>Lenovo</t>
        </is>
      </c>
      <c r="C1728" s="2" t="inlineStr">
        <is>
          <t>21MS005KRU</t>
        </is>
      </c>
      <c r="D1728" s="2" t="inlineStr">
        <is>
          <t>Ноутбук Lenovo ThinkBook 16 G7 IML Core Ultra 5 125U/16Gb/SSD512Gb/16.0"/IPS/WUXGA/NoOS/grey  (21MS005KRU)</t>
        </is>
      </c>
      <c r="E1728" s="2">
        <v>100</v>
      </c>
      <c r="F1728" s="2">
        <v>100</v>
      </c>
      <c r="H1728" s="2">
        <v>938</v>
      </c>
      <c r="I1728" s="2" t="inlineStr">
        <is>
          <t>$</t>
        </is>
      </c>
      <c r="J1728" s="2">
        <f>HYPERLINK("https://app.astro.lead-studio.pro/product/6d2b4c4a-cede-463e-b6c9-04727f99a099")</f>
      </c>
    </row>
    <row r="1729" spans="1:10" customHeight="0">
      <c r="A1729" s="2" t="inlineStr">
        <is>
          <t>Ноутбуки</t>
        </is>
      </c>
      <c r="B1729" s="2" t="inlineStr">
        <is>
          <t>Lenovo</t>
        </is>
      </c>
      <c r="C1729" s="2" t="inlineStr">
        <is>
          <t>21MS008RRU</t>
        </is>
      </c>
      <c r="D1729" s="2" t="inlineStr">
        <is>
          <t>Ноутбук Lenovo ThinkBook 16 G7 IML Core Ultra 7 155H/16Gb/SSD512Gb/16.0"/IPS/WUXGA/NoOS/grey  (21MS008RRU)</t>
        </is>
      </c>
      <c r="E1729" s="2">
        <v>98</v>
      </c>
      <c r="F1729" s="2">
        <v>98</v>
      </c>
      <c r="H1729" s="2">
        <v>1218</v>
      </c>
      <c r="I1729" s="2" t="inlineStr">
        <is>
          <t>$</t>
        </is>
      </c>
      <c r="J1729" s="2">
        <f>HYPERLINK("https://app.astro.lead-studio.pro/product/bb3d8228-8547-4c56-9003-eab86743a391")</f>
      </c>
    </row>
    <row r="1730" spans="1:10" customHeight="0">
      <c r="A1730" s="2" t="inlineStr">
        <is>
          <t>Ноутбуки</t>
        </is>
      </c>
      <c r="B1730" s="2" t="inlineStr">
        <is>
          <t>Lenovo</t>
        </is>
      </c>
      <c r="C1730" s="2" t="inlineStr">
        <is>
          <t>21MS008TRU</t>
        </is>
      </c>
      <c r="D1730" s="2" t="inlineStr">
        <is>
          <t>Ноутбук Lenovo ThinkBook 16 G7 IML Core Ultra 7 155H/16Gb/SSD512Gb/16.0"/IPS/WUXGA/Win11Pro/grey  (21MS008TRU)</t>
        </is>
      </c>
      <c r="E1730" s="2">
        <v>32</v>
      </c>
      <c r="F1730" s="2">
        <v>32</v>
      </c>
      <c r="H1730" s="2">
        <v>1317</v>
      </c>
      <c r="I1730" s="2" t="inlineStr">
        <is>
          <t>$</t>
        </is>
      </c>
      <c r="J1730" s="2">
        <f>HYPERLINK("https://app.astro.lead-studio.pro/product/5a3d6650-76fa-4483-9ec8-067e7c54b578")</f>
      </c>
    </row>
    <row r="1731" spans="1:10" customHeight="0">
      <c r="A1731" s="2" t="inlineStr">
        <is>
          <t>Ноутбуки</t>
        </is>
      </c>
      <c r="B1731" s="2" t="inlineStr">
        <is>
          <t>Lenovo</t>
        </is>
      </c>
      <c r="C1731" s="2" t="inlineStr">
        <is>
          <t>21MS008TRU||bp</t>
        </is>
      </c>
      <c r="D1731" s="2" t="inlineStr">
        <is>
          <t>Ноутбук Lenovo Bad Pack Ноутбук Lenovo ThinkBook 16 G7 IML Intel Core Ultra 7 155H/16Gb/SSD512Gb/16"/IPS/FHD+/60Hz/Win11Pro/grey (21MS008TRU) bp</t>
        </is>
      </c>
      <c r="E1731" s="2">
        <v>1</v>
      </c>
      <c r="F1731" s="2">
        <v>1</v>
      </c>
      <c r="H1731" s="2">
        <v>1336</v>
      </c>
      <c r="I1731" s="2" t="inlineStr">
        <is>
          <t>$</t>
        </is>
      </c>
      <c r="J1731" s="2">
        <f>HYPERLINK("https://app.astro.lead-studio.pro/product/01420afe-0b2c-4192-9f95-bd0a5ba1dd6f")</f>
      </c>
    </row>
    <row r="1732" spans="1:10" customHeight="0">
      <c r="A1732" s="2" t="inlineStr">
        <is>
          <t>Ноутбуки</t>
        </is>
      </c>
      <c r="B1732" s="2" t="inlineStr">
        <is>
          <t>Microsoft</t>
        </is>
      </c>
      <c r="C1732" s="2" t="inlineStr">
        <is>
          <t>21O-00004||bp</t>
        </is>
      </c>
      <c r="D1732" s="2" t="inlineStr">
        <is>
          <t>Ноутбук Microsoft Bad Pack Ноутбук Microsoft Surface Go Platinum Intel Core i5-1035G1/16Gb/SSD256Gb/12.4»/IPS/touch/1536x1024/EU Plug/Eng Keyboard/Win10Pro/silver</t>
        </is>
      </c>
      <c r="E1732" s="2">
        <v>1</v>
      </c>
      <c r="F1732" s="2">
        <v>1</v>
      </c>
      <c r="H1732" s="2">
        <v>424</v>
      </c>
      <c r="I1732" s="2" t="inlineStr">
        <is>
          <t>$</t>
        </is>
      </c>
      <c r="J1732" s="2">
        <f>HYPERLINK("https://app.astro.lead-studio.pro/product/4161c352-0d5a-48e9-a3d7-7838282961b0")</f>
      </c>
    </row>
    <row r="1733" spans="1:10" customHeight="0">
      <c r="A1733" s="2" t="inlineStr">
        <is>
          <t>Ноутбуки</t>
        </is>
      </c>
      <c r="B1733" s="2" t="inlineStr">
        <is>
          <t>HP</t>
        </is>
      </c>
      <c r="C1733" s="2" t="inlineStr">
        <is>
          <t>6S7B5EA||bp</t>
        </is>
      </c>
      <c r="D1733" s="2" t="inlineStr">
        <is>
          <t>Ноутбук HP Bad Pack Ноутбук HP 250 G9 Intel Core i5-1235U/8Gb/SSD512Gb/15.6''/FHD/SVA/DOS/grey (6S7B5EA) bp</t>
        </is>
      </c>
      <c r="E1733" s="2">
        <v>2</v>
      </c>
      <c r="F1733" s="2">
        <v>2</v>
      </c>
      <c r="H1733" s="2">
        <v>650</v>
      </c>
      <c r="I1733" s="2" t="inlineStr">
        <is>
          <t>$</t>
        </is>
      </c>
      <c r="J1733" s="2">
        <f>HYPERLINK("https://app.astro.lead-studio.pro/product/fa06d214-0fab-4518-9a05-18bf61cdcd3c")</f>
      </c>
    </row>
    <row r="1734" spans="1:10" customHeight="0">
      <c r="A1734" s="2" t="inlineStr">
        <is>
          <t>Ноутбуки</t>
        </is>
      </c>
      <c r="B1734" s="2" t="inlineStr">
        <is>
          <t>HP</t>
        </is>
      </c>
      <c r="C1734" s="2" t="inlineStr">
        <is>
          <t>736W6AV</t>
        </is>
      </c>
      <c r="D1734" s="2" t="inlineStr">
        <is>
          <t>Ноутбук HP EliteBook 650 G10 Core i5-1335U/16Gb/SSD512Gb/15.6"/IPS/FHD/NoOs</t>
        </is>
      </c>
      <c r="E1734" s="2">
        <v>100</v>
      </c>
      <c r="F1734" s="2">
        <v>100</v>
      </c>
      <c r="H1734" s="2">
        <v>864</v>
      </c>
      <c r="I1734" s="2" t="inlineStr">
        <is>
          <t>$</t>
        </is>
      </c>
      <c r="J1734" s="2">
        <f>HYPERLINK("https://app.astro.lead-studio.pro/product/63e55cf4-5e77-43e4-93e7-b93d1bcb7e38")</f>
      </c>
    </row>
    <row r="1735" spans="1:10" customHeight="0">
      <c r="A1735" s="2" t="inlineStr">
        <is>
          <t>Ноутбуки</t>
        </is>
      </c>
      <c r="B1735" s="2" t="inlineStr">
        <is>
          <t>HP</t>
        </is>
      </c>
      <c r="C1735" s="2" t="inlineStr">
        <is>
          <t>75C08AV</t>
        </is>
      </c>
      <c r="D1735" s="2" t="inlineStr">
        <is>
          <t>Ноутбук HP Elitebook 645 G10 AMD Ryzen 5 PRO 7530U/16Gb/SSD512GB/14”/MTKRZ616 WiFi6E/IPS/FHD/Win11PRO/silver</t>
        </is>
      </c>
      <c r="E1735" s="2">
        <v>7</v>
      </c>
      <c r="F1735" s="2">
        <v>7</v>
      </c>
      <c r="H1735" s="2">
        <v>1039</v>
      </c>
      <c r="I1735" s="2" t="inlineStr">
        <is>
          <t>$</t>
        </is>
      </c>
      <c r="J1735" s="2">
        <f>HYPERLINK("https://app.astro.lead-studio.pro/product/96ba9df0-6f3c-46f4-8752-94348b2adcf2")</f>
      </c>
    </row>
    <row r="1736" spans="1:10" customHeight="0">
      <c r="A1736" s="2" t="inlineStr">
        <is>
          <t>Ноутбуки</t>
        </is>
      </c>
      <c r="B1736" s="2" t="inlineStr">
        <is>
          <t>HP</t>
        </is>
      </c>
      <c r="C1736" s="2" t="inlineStr">
        <is>
          <t>75C08AV||bp</t>
        </is>
      </c>
      <c r="D1736" s="2" t="inlineStr">
        <is>
          <t>Ноутбук HP Elitebook 645 G10 AMD Ryzen 5 PRO 7530U/16Gb/SSD512GB/14”/MTKRZ616 WiFi6E/IPS/FHD/noOS/silver</t>
        </is>
      </c>
      <c r="E1736" s="2">
        <v>3</v>
      </c>
      <c r="F1736" s="2">
        <v>3</v>
      </c>
      <c r="H1736" s="2">
        <v>851</v>
      </c>
      <c r="I1736" s="2" t="inlineStr">
        <is>
          <t>$</t>
        </is>
      </c>
      <c r="J1736" s="2">
        <f>HYPERLINK("https://app.astro.lead-studio.pro/product/a8d0b31d-9408-497a-b430-1ed372908cde")</f>
      </c>
    </row>
    <row r="1737" spans="1:10" customHeight="0">
      <c r="A1737" s="2" t="inlineStr">
        <is>
          <t>Ноутбуки</t>
        </is>
      </c>
      <c r="B1737" s="2" t="inlineStr">
        <is>
          <t>Lenovo</t>
        </is>
      </c>
      <c r="C1737" s="2" t="inlineStr">
        <is>
          <t>82YU00VDRU</t>
        </is>
      </c>
      <c r="D1737" s="2" t="inlineStr">
        <is>
          <t>Ноутбук Lenovo V15 G4 AMN Ryzen 3 7320U/8Gb/SSD512Gb/15.6"/IPS/FHD/NoOS/black (82YU00VDRU)</t>
        </is>
      </c>
      <c r="E1737" s="2">
        <v>100</v>
      </c>
      <c r="F1737" s="2">
        <v>100</v>
      </c>
      <c r="H1737" s="2">
        <v>465</v>
      </c>
      <c r="I1737" s="2" t="inlineStr">
        <is>
          <t>$</t>
        </is>
      </c>
      <c r="J1737" s="2">
        <f>HYPERLINK("https://app.astro.lead-studio.pro/product/006950da-b7c7-4be9-9218-6470799ff79e")</f>
      </c>
    </row>
    <row r="1738" spans="1:10" customHeight="0">
      <c r="A1738" s="2" t="inlineStr">
        <is>
          <t>Ноутбуки</t>
        </is>
      </c>
      <c r="B1738" s="2" t="inlineStr">
        <is>
          <t>Lenovo</t>
        </is>
      </c>
      <c r="C1738" s="2" t="inlineStr">
        <is>
          <t>83A2000URU</t>
        </is>
      </c>
      <c r="D1738" s="2" t="inlineStr">
        <is>
          <t>Ноутбук Lenovo V17 G4 IRU Core i3-1315U/8Gb/SSD512Gb/17.3"/IPS/FHD/NoOS/grey  (83A2000URU)</t>
        </is>
      </c>
      <c r="E1738" s="2">
        <v>7</v>
      </c>
      <c r="F1738" s="2">
        <v>7</v>
      </c>
      <c r="H1738" s="2">
        <v>615</v>
      </c>
      <c r="I1738" s="2" t="inlineStr">
        <is>
          <t>$</t>
        </is>
      </c>
      <c r="J1738" s="2">
        <f>HYPERLINK("https://app.astro.lead-studio.pro/product/c17a5f12-cd91-4859-91a8-ebc86c533b01")</f>
      </c>
    </row>
    <row r="1739" spans="1:10" customHeight="0">
      <c r="A1739" s="2" t="inlineStr">
        <is>
          <t>Ноутбуки</t>
        </is>
      </c>
      <c r="B1739" s="2" t="inlineStr">
        <is>
          <t>Lenovo</t>
        </is>
      </c>
      <c r="C1739" s="2" t="inlineStr">
        <is>
          <t>83A2000URU||bp</t>
        </is>
      </c>
      <c r="D1739" s="2" t="inlineStr">
        <is>
          <t>Ноутбук Lenovo Bad Pack Ноутбук Lenovo V17 G4 IRU Intel Core i3-1315U/8Gb/SSD512Gb/17.3"/IPS/FHD/60Hz/NoOS/grey (83A2000URU) bp</t>
        </is>
      </c>
      <c r="E1739" s="2">
        <v>1</v>
      </c>
      <c r="F1739" s="2">
        <v>1</v>
      </c>
      <c r="H1739" s="2">
        <v>582</v>
      </c>
      <c r="I1739" s="2" t="inlineStr">
        <is>
          <t>$</t>
        </is>
      </c>
      <c r="J1739" s="2">
        <f>HYPERLINK("https://app.astro.lead-studio.pro/product/4abf0389-fe92-48d0-94f7-be35cd23258c")</f>
      </c>
    </row>
    <row r="1740" spans="1:10" customHeight="0">
      <c r="A1740" s="2" t="inlineStr">
        <is>
          <t>Ноутбуки</t>
        </is>
      </c>
      <c r="B1740" s="2" t="inlineStr">
        <is>
          <t>ASUS</t>
        </is>
      </c>
      <c r="C1740" s="2" t="inlineStr">
        <is>
          <t>90NX04U1-M00D90</t>
        </is>
      </c>
      <c r="D1740" s="2" t="inlineStr">
        <is>
          <t>Ноутбук ASUS ExpertBook B6 Flip B6602FC2-MH0368 Intel Core i712850HX/16Gb/SSD512Gb/16"/WQXGA (2560x1600)/IPS/touch/noOS/black (90NX04U1-M00D90)</t>
        </is>
      </c>
      <c r="E1740" s="2">
        <v>2</v>
      </c>
      <c r="F1740" s="2">
        <v>2</v>
      </c>
      <c r="H1740" s="2">
        <v>2704</v>
      </c>
      <c r="I1740" s="2" t="inlineStr">
        <is>
          <t>$</t>
        </is>
      </c>
      <c r="J1740" s="2">
        <f>HYPERLINK("https://app.astro.lead-studio.pro/product/6607c3ac-d609-40c3-8b79-5c9f03362743")</f>
      </c>
    </row>
    <row r="1741" spans="1:10" customHeight="0">
      <c r="A1741" s="2" t="inlineStr">
        <is>
          <t>Ноутбуки</t>
        </is>
      </c>
      <c r="B1741" s="2" t="inlineStr">
        <is>
          <t>ASUS</t>
        </is>
      </c>
      <c r="C1741" s="2" t="inlineStr">
        <is>
          <t>90NX05H1-M00EB0||bp</t>
        </is>
      </c>
      <c r="D1741" s="2" t="inlineStr">
        <is>
          <t>Ноутбук ASUS Bad Pack Ноутбук ASUS ExpertBook B5 OLED B5602CBA-L20376 Intel Core i7-1260P/16Gb/SSD1TB/16"/WQUXGA (3840x2400)/noOS/Black (90NX05H1-M00EB0) bp</t>
        </is>
      </c>
      <c r="E1741" s="2">
        <v>1</v>
      </c>
      <c r="F1741" s="2">
        <v>1</v>
      </c>
      <c r="H1741" s="2">
        <v>1456</v>
      </c>
      <c r="I1741" s="2" t="inlineStr">
        <is>
          <t>$</t>
        </is>
      </c>
      <c r="J1741" s="2">
        <f>HYPERLINK("https://app.astro.lead-studio.pro/product/b08c7486-26b2-4642-927a-e8062c71a878")</f>
      </c>
    </row>
    <row r="1742" spans="1:10" customHeight="0">
      <c r="A1742" s="2" t="inlineStr">
        <is>
          <t>Ноутбуки</t>
        </is>
      </c>
      <c r="B1742" s="2" t="inlineStr">
        <is>
          <t>ASUS</t>
        </is>
      </c>
      <c r="C1742" s="2" t="inlineStr">
        <is>
          <t>90NX0711-M00BS0</t>
        </is>
      </c>
      <c r="D1742" s="2" t="inlineStr">
        <is>
          <t>Ноутбук Asus Expertbook B3 B3404CMA-Q50316 Core Ultra 7 155U/16Gb/SSD1Tb/14.0"/IPS/WUXGA/NoOS/black (90NX0711-M00BS0)</t>
        </is>
      </c>
      <c r="E1742" s="2">
        <v>20</v>
      </c>
      <c r="F1742" s="2">
        <v>20</v>
      </c>
      <c r="H1742" s="2">
        <v>1028</v>
      </c>
      <c r="I1742" s="2" t="inlineStr">
        <is>
          <t>$</t>
        </is>
      </c>
      <c r="J1742" s="2">
        <f>HYPERLINK("https://app.astro.lead-studio.pro/product/aadb5387-0b8b-47a2-b2bf-c997a2250a9e")</f>
      </c>
    </row>
    <row r="1743" spans="1:10" customHeight="0">
      <c r="A1743" s="2" t="inlineStr">
        <is>
          <t>Ноутбуки</t>
        </is>
      </c>
      <c r="B1743" s="2" t="inlineStr">
        <is>
          <t>ASUS</t>
        </is>
      </c>
      <c r="C1743" s="2" t="inlineStr">
        <is>
          <t>90NX0731-M009W0</t>
        </is>
      </c>
      <c r="D1743" s="2" t="inlineStr">
        <is>
          <t>Ноутбук Asus Expertbook B3 B3604CMA-Q90272 Core Ultra 7 155U/16Gb/SSD1Tb/16.0"/IPS/WUXGA/NoOS/black (90NX0731-M009W0)</t>
        </is>
      </c>
      <c r="E1743" s="2">
        <v>11</v>
      </c>
      <c r="F1743" s="2">
        <v>11</v>
      </c>
      <c r="H1743" s="2">
        <v>1038</v>
      </c>
      <c r="I1743" s="2" t="inlineStr">
        <is>
          <t>$</t>
        </is>
      </c>
      <c r="J1743" s="2">
        <f>HYPERLINK("https://app.astro.lead-studio.pro/product/02ddbb2a-5873-413a-b41d-ceb6424918ea")</f>
      </c>
    </row>
    <row r="1744" spans="1:10" customHeight="0">
      <c r="A1744" s="2" t="inlineStr">
        <is>
          <t>Ноутбуки</t>
        </is>
      </c>
      <c r="B1744" s="2" t="inlineStr">
        <is>
          <t>HP</t>
        </is>
      </c>
      <c r="C1744" s="2" t="inlineStr">
        <is>
          <t>91F61AV</t>
        </is>
      </c>
      <c r="D1744" s="2" t="inlineStr">
        <is>
          <t>Ноутбук HP EliteBook 830 G10 Intel Core i5-1345U/16Gb/SSD512Gb/13.3”/IPS/WUXGA/Win11Pro/silver</t>
        </is>
      </c>
      <c r="E1744" s="2">
        <v>10</v>
      </c>
      <c r="F1744" s="2">
        <v>10</v>
      </c>
      <c r="H1744" s="2">
        <v>1482</v>
      </c>
      <c r="I1744" s="2" t="inlineStr">
        <is>
          <t>$</t>
        </is>
      </c>
      <c r="J1744" s="2">
        <f>HYPERLINK("https://app.astro.lead-studio.pro/product/4d84aa7c-af6e-425e-ac41-74d0488af7d8")</f>
      </c>
    </row>
    <row r="1745" spans="1:10" customHeight="0">
      <c r="A1745" s="2" t="inlineStr">
        <is>
          <t>Ноутбуки</t>
        </is>
      </c>
      <c r="B1745" s="2" t="inlineStr">
        <is>
          <t>Raskat</t>
        </is>
      </c>
      <c r="C1745" s="2" t="inlineStr">
        <is>
          <t>RNA15518186PCT</t>
        </is>
      </c>
      <c r="D1745" s="2" t="inlineStr">
        <is>
          <t>Ноутбук Raskat Start 15 Intel Core i5-8259U/8GB/SSD256GB/15.6"/IPS/FHD/NoOS/black (RNA15518186PCT)</t>
        </is>
      </c>
      <c r="E1745" s="2">
        <v>100</v>
      </c>
      <c r="F1745" s="2">
        <v>100</v>
      </c>
      <c r="H1745" s="2">
        <v>354</v>
      </c>
      <c r="I1745" s="2" t="inlineStr">
        <is>
          <t>$</t>
        </is>
      </c>
      <c r="J1745" s="2">
        <f>HYPERLINK("https://app.astro.lead-studio.pro/product/21a47ab0-190f-46e6-b029-073f75f218e2")</f>
      </c>
    </row>
    <row r="1746" spans="1:10" customHeight="0">
      <c r="A1746" s="2" t="inlineStr">
        <is>
          <t>Ноутбуки</t>
        </is>
      </c>
      <c r="B1746" s="2" t="inlineStr">
        <is>
          <t>Raskat</t>
        </is>
      </c>
      <c r="C1746" s="2" t="inlineStr">
        <is>
          <t>RNB1532U86WB</t>
        </is>
      </c>
      <c r="D1746" s="2" t="inlineStr">
        <is>
          <t>Ноутбук Raskat Step 15 Intel Core i3-1215U/8GB/SSD256GB/15.6"/IPS/FHD/NoOS/black (RNB1532U86WB)</t>
        </is>
      </c>
      <c r="E1746" s="2">
        <v>62</v>
      </c>
      <c r="F1746" s="2">
        <v>62</v>
      </c>
      <c r="H1746" s="2">
        <v>421</v>
      </c>
      <c r="I1746" s="2" t="inlineStr">
        <is>
          <t>$</t>
        </is>
      </c>
      <c r="J1746" s="2">
        <f>HYPERLINK("https://app.astro.lead-studio.pro/product/42c6ebc9-c56d-477f-9a7c-811fd2bb2c9a")</f>
      </c>
    </row>
    <row r="1747" spans="1:10" customHeight="0">
      <c r="A1747" s="2" t="inlineStr">
        <is>
          <t>Ноутбуки</t>
        </is>
      </c>
      <c r="B1747" s="2" t="inlineStr">
        <is>
          <t>Raskat</t>
        </is>
      </c>
      <c r="C1747" s="2" t="inlineStr">
        <is>
          <t>RNB1552U62WB</t>
        </is>
      </c>
      <c r="D1747" s="2" t="inlineStr">
        <is>
          <t>Ноутбук Raskat Step 15 Intel Core i5-1235U/16GB/SSD512GB/15.6"/IPS/FHD/NoOS/black (RNB1552U62WB)</t>
        </is>
      </c>
      <c r="E1747" s="2">
        <v>100</v>
      </c>
      <c r="F1747" s="2">
        <v>100</v>
      </c>
      <c r="H1747" s="2">
        <v>517</v>
      </c>
      <c r="I1747" s="2" t="inlineStr">
        <is>
          <t>$</t>
        </is>
      </c>
      <c r="J1747" s="2">
        <f>HYPERLINK("https://app.astro.lead-studio.pro/product/431c1b7c-63af-4f1b-b3ad-f9a4af19a338")</f>
      </c>
    </row>
    <row r="1748" spans="1:10" customHeight="0">
      <c r="A1748" s="2" t="inlineStr">
        <is>
          <t>Ноутбуки</t>
        </is>
      </c>
      <c r="B1748" s="2" t="inlineStr">
        <is>
          <t>Raskat</t>
        </is>
      </c>
      <c r="C1748" s="2" t="inlineStr">
        <is>
          <t>RNB1552U86WB</t>
        </is>
      </c>
      <c r="D1748" s="2" t="inlineStr">
        <is>
          <t>Ноутбук Raskat Step 15 Intel Core i5-1235U/8GB/SSD256GB/15.6"/IPS/FHD/NoOS/black</t>
        </is>
      </c>
      <c r="E1748" s="2">
        <v>100</v>
      </c>
      <c r="F1748" s="2">
        <v>100</v>
      </c>
      <c r="H1748" s="2">
        <v>478</v>
      </c>
      <c r="I1748" s="2" t="inlineStr">
        <is>
          <t>$</t>
        </is>
      </c>
      <c r="J1748" s="2">
        <f>HYPERLINK("https://app.astro.lead-studio.pro/product/1d56b701-a678-44f6-836f-038ea6a33653")</f>
      </c>
    </row>
    <row r="1749" spans="1:10" customHeight="0">
      <c r="A1749" s="2" t="inlineStr">
        <is>
          <t>Ноутбуки</t>
        </is>
      </c>
      <c r="B1749" s="2" t="inlineStr">
        <is>
          <t>Raskat</t>
        </is>
      </c>
      <c r="C1749" s="2" t="inlineStr">
        <is>
          <t>RNB1572U82WB</t>
        </is>
      </c>
      <c r="D1749" s="2" t="inlineStr">
        <is>
          <t>Ноутбук Raskat Step 15 Intel Core i7-1255U/16GB/SSD512GB/15.6"/IPS/FHD/NoOS/black (RNB1572U82WB)</t>
        </is>
      </c>
      <c r="E1749" s="2">
        <v>40</v>
      </c>
      <c r="F1749" s="2">
        <v>40</v>
      </c>
      <c r="H1749" s="2">
        <v>625</v>
      </c>
      <c r="I1749" s="2" t="inlineStr">
        <is>
          <t>$</t>
        </is>
      </c>
      <c r="J1749" s="2">
        <f>HYPERLINK("https://app.astro.lead-studio.pro/product/630977ed-6e92-4cb5-b8f4-511b60063b14")</f>
      </c>
    </row>
    <row r="1750" spans="1:10" customHeight="0">
      <c r="A1750" s="2" t="inlineStr">
        <is>
          <t>Ноутбуки</t>
        </is>
      </c>
      <c r="B1750" s="2" t="inlineStr">
        <is>
          <t>Raskat</t>
        </is>
      </c>
      <c r="C1750" s="2" t="inlineStr">
        <is>
          <t>RNB1732U86WB</t>
        </is>
      </c>
      <c r="D1750" s="2" t="inlineStr">
        <is>
          <t>Ноутбук Raskat Step 17 Intel Core i3-1215U/8GB/SSD256GB/17.3"/IPS/FHD/NoOS/black (RNB1732U86WS)</t>
        </is>
      </c>
      <c r="E1750" s="2">
        <v>100</v>
      </c>
      <c r="F1750" s="2">
        <v>100</v>
      </c>
      <c r="H1750" s="2">
        <v>477</v>
      </c>
      <c r="I1750" s="2" t="inlineStr">
        <is>
          <t>$</t>
        </is>
      </c>
      <c r="J1750" s="2">
        <f>HYPERLINK("https://app.astro.lead-studio.pro/product/45ebd16b-e5af-40af-8a22-e36e0ee87985")</f>
      </c>
    </row>
    <row r="1751" spans="1:10" customHeight="0">
      <c r="A1751" s="2" t="inlineStr">
        <is>
          <t>Ноутбуки</t>
        </is>
      </c>
      <c r="B1751" s="2" t="inlineStr">
        <is>
          <t>Raskat</t>
        </is>
      </c>
      <c r="C1751" s="2" t="inlineStr">
        <is>
          <t>RNB1752U62WB</t>
        </is>
      </c>
      <c r="D1751" s="2" t="inlineStr">
        <is>
          <t>Ноутбук Raskat Step 17 Intel Core i5-1235U/16GB/SSD512GB/17.3"/IPS/FHD/NoOS/black (RNB1752U62WB)</t>
        </is>
      </c>
      <c r="E1751" s="2">
        <v>18</v>
      </c>
      <c r="F1751" s="2">
        <v>18</v>
      </c>
      <c r="H1751" s="2">
        <v>566</v>
      </c>
      <c r="I1751" s="2" t="inlineStr">
        <is>
          <t>$</t>
        </is>
      </c>
      <c r="J1751" s="2">
        <f>HYPERLINK("https://app.astro.lead-studio.pro/product/c5458ae8-8f3c-40f9-861e-f3eebf66c0b1")</f>
      </c>
    </row>
    <row r="1752" spans="1:10" customHeight="0">
      <c r="A1752" s="2" t="inlineStr">
        <is>
          <t>Ноутбуки</t>
        </is>
      </c>
      <c r="B1752" s="2" t="inlineStr">
        <is>
          <t>Raskat</t>
        </is>
      </c>
      <c r="C1752" s="2" t="inlineStr">
        <is>
          <t>RNB1752U82WB</t>
        </is>
      </c>
      <c r="D1752" s="2" t="inlineStr">
        <is>
          <t>Ноутбук Raskat Step 17 Intel Core i5-1235U/8GB/SSD512GB/17.3"/IPS/FHD/NoOS/black (RNB1752U82WB)</t>
        </is>
      </c>
      <c r="E1752" s="2">
        <v>55</v>
      </c>
      <c r="F1752" s="2">
        <v>55</v>
      </c>
      <c r="H1752" s="2">
        <v>546</v>
      </c>
      <c r="I1752" s="2" t="inlineStr">
        <is>
          <t>$</t>
        </is>
      </c>
      <c r="J1752" s="2">
        <f>HYPERLINK("https://app.astro.lead-studio.pro/product/0b8b5f9e-0971-451a-bf0c-b97f338df0bc")</f>
      </c>
    </row>
    <row r="1753" spans="1:10" customHeight="0">
      <c r="A1753" s="2" t="inlineStr">
        <is>
          <t>Ноутбуки</t>
        </is>
      </c>
      <c r="B1753" s="2" t="inlineStr">
        <is>
          <t>Гравитон</t>
        </is>
      </c>
      <c r="C1753" s="2" t="inlineStr">
        <is>
          <t>Н14И-Т_151506</t>
        </is>
      </c>
      <c r="D1753" s="2" t="inlineStr">
        <is>
          <t>Ноутбук Гравитон Н14И-Т  (14.0"/1920x1080/i5-1135G7/16GBDDR4/512GBSSD_М.2/Wi-Fi+BT/no OS) 19В, 3,42А</t>
        </is>
      </c>
      <c r="E1753" s="2">
        <v>5</v>
      </c>
      <c r="F1753" s="2">
        <v>5</v>
      </c>
      <c r="H1753" s="2">
        <v>1320</v>
      </c>
      <c r="I1753" s="2" t="inlineStr">
        <is>
          <t>$</t>
        </is>
      </c>
      <c r="J1753" s="2">
        <f>HYPERLINK("https://app.astro.lead-studio.pro/product/16c5dc11-812d-44d8-a7e2-8fcc18190645")</f>
      </c>
    </row>
    <row r="1754" spans="1:10" customHeight="0">
      <c r="A1754" s="2" t="inlineStr">
        <is>
          <t>Ноутбуки</t>
        </is>
      </c>
      <c r="B1754" s="2" t="inlineStr">
        <is>
          <t>Гравитон</t>
        </is>
      </c>
      <c r="C1754" s="2" t="inlineStr">
        <is>
          <t>Н14И-ТП_149699</t>
        </is>
      </c>
      <c r="D1754" s="2" t="inlineStr">
        <is>
          <t> Ноутбук Гравитон Н14И-ТП (14.0"/1920x1080/i3-1125G4/8GBDDR4/256GBSSD_М.2/Wi-Fi+BT/no OS)</t>
        </is>
      </c>
      <c r="E1754" s="2">
        <v>5</v>
      </c>
      <c r="F1754" s="2">
        <v>5</v>
      </c>
      <c r="H1754" s="2">
        <v>973</v>
      </c>
      <c r="I1754" s="2" t="inlineStr">
        <is>
          <t>$</t>
        </is>
      </c>
      <c r="J1754" s="2">
        <f>HYPERLINK("https://app.astro.lead-studio.pro/product/1b0d4bee-e789-4539-aefa-815f3150d7f0")</f>
      </c>
    </row>
    <row r="1755" spans="1:10" customHeight="0">
      <c r="A1755" s="2" t="inlineStr">
        <is>
          <t>Ноутбуки</t>
        </is>
      </c>
      <c r="B1755" s="2" t="inlineStr">
        <is>
          <t>Гравитон</t>
        </is>
      </c>
      <c r="C1755" s="2" t="inlineStr">
        <is>
          <t>Н14И-ТП_149700</t>
        </is>
      </c>
      <c r="D1755" s="2" t="inlineStr">
        <is>
          <t>Ноутбук Гравитон Ноутбук Гравитон Н14И-ТП  (14.0"/1920x1080/i5-1135G7/8GBDDR4/256GBSSD_М.2/Wi-Fi+BT/no OS)</t>
        </is>
      </c>
      <c r="E1755" s="2">
        <v>4</v>
      </c>
      <c r="F1755" s="2">
        <v>4</v>
      </c>
      <c r="H1755" s="2">
        <v>1108</v>
      </c>
      <c r="I1755" s="2" t="inlineStr">
        <is>
          <t>$</t>
        </is>
      </c>
      <c r="J1755" s="2">
        <f>HYPERLINK("https://app.astro.lead-studio.pro/product/c50f0c96-7bde-4369-908e-e7334877f932")</f>
      </c>
    </row>
    <row r="1756" spans="1:10" customHeight="0">
      <c r="A1756" s="2" t="inlineStr">
        <is>
          <t>Ноутбуки</t>
        </is>
      </c>
      <c r="B1756" s="2" t="inlineStr">
        <is>
          <t>Гравитон</t>
        </is>
      </c>
      <c r="C1756" s="2" t="inlineStr">
        <is>
          <t>Н14И-ТП_172629</t>
        </is>
      </c>
      <c r="D1756" s="2" t="inlineStr">
        <is>
          <t>Ноутбук Гравитон Н14И-ТП 14.0"FHD/i5-1135G7/1*16GB/SSD512GB/Wi-Fi+BT/NoOS/1YST</t>
        </is>
      </c>
      <c r="E1756" s="2">
        <v>2</v>
      </c>
      <c r="F1756" s="2">
        <v>2</v>
      </c>
      <c r="H1756" s="2">
        <v>1185</v>
      </c>
      <c r="I1756" s="2" t="inlineStr">
        <is>
          <t>$</t>
        </is>
      </c>
      <c r="J1756" s="2">
        <f>HYPERLINK("https://app.astro.lead-studio.pro/product/321efb4d-52f2-4b6a-9fdd-e81a350e16fb")</f>
      </c>
    </row>
    <row r="1757" spans="1:10" customHeight="0">
      <c r="A1757" s="2" t="inlineStr">
        <is>
          <t>Ноутбуки</t>
        </is>
      </c>
      <c r="B1757" s="2" t="inlineStr">
        <is>
          <t>Гравитон</t>
        </is>
      </c>
      <c r="C1757" s="2" t="inlineStr">
        <is>
          <t>Н14И-ТП_177049</t>
        </is>
      </c>
      <c r="D1757" s="2" t="inlineStr">
        <is>
          <t>Ноутбук Гравитон Н14И-ТП 14.0"FHD i5-1135G7/1x16GBDDR4/1TBSSD_M.2/WiFi+BT/NoOS/1YST</t>
        </is>
      </c>
      <c r="E1757" s="2">
        <v>35</v>
      </c>
      <c r="F1757" s="2">
        <v>35</v>
      </c>
      <c r="H1757" s="2">
        <v>1250</v>
      </c>
      <c r="I1757" s="2" t="inlineStr">
        <is>
          <t>$</t>
        </is>
      </c>
      <c r="J1757" s="2">
        <f>HYPERLINK("https://app.astro.lead-studio.pro/product/6a46d4cf-b0c2-461b-94ea-c0536f4e9ad2")</f>
      </c>
    </row>
    <row r="1758" spans="1:10" customHeight="0">
      <c r="A1758" s="2" t="inlineStr">
        <is>
          <t>Ноутбуки</t>
        </is>
      </c>
      <c r="B1758" s="2" t="inlineStr">
        <is>
          <t>Гравитон</t>
        </is>
      </c>
      <c r="C1758" s="2" t="inlineStr">
        <is>
          <t>Н15И-Т_151508</t>
        </is>
      </c>
      <c r="D1758" s="2" t="inlineStr">
        <is>
          <t>Ноутбук Гравитон Н15И-Т  (15.6"/1920x1080/i5-1135G7/16GBDDR4/512GBSSD_М.2/Wi-Fi+BT/no OS)</t>
        </is>
      </c>
      <c r="E1758" s="2">
        <v>9</v>
      </c>
      <c r="F1758" s="2">
        <v>9</v>
      </c>
      <c r="H1758" s="2">
        <v>1301</v>
      </c>
      <c r="I1758" s="2" t="inlineStr">
        <is>
          <t>$</t>
        </is>
      </c>
      <c r="J1758" s="2">
        <f>HYPERLINK("https://app.astro.lead-studio.pro/product/dddb609c-4995-4ac0-af9a-b21d24f92098")</f>
      </c>
    </row>
    <row r="1759" spans="1:10" customHeight="0">
      <c r="A1759" s="2" t="inlineStr">
        <is>
          <t>Ноутбуки</t>
        </is>
      </c>
      <c r="B1759" s="2" t="inlineStr">
        <is>
          <t>Гравитон</t>
        </is>
      </c>
      <c r="C1759" s="2" t="inlineStr">
        <is>
          <t>Н15И-ТП_149705</t>
        </is>
      </c>
      <c r="D1759" s="2" t="inlineStr">
        <is>
          <t>Ноутбук Гравитон Н15И-ТП  (15.6"/1920x1080/i3-1125G4/8GBDDR4/256GBSSD_М.2/Wi-Fi+BT/no OS)</t>
        </is>
      </c>
      <c r="E1759" s="2">
        <v>4</v>
      </c>
      <c r="F1759" s="2">
        <v>4</v>
      </c>
      <c r="H1759" s="2">
        <v>977</v>
      </c>
      <c r="I1759" s="2" t="inlineStr">
        <is>
          <t>$</t>
        </is>
      </c>
      <c r="J1759" s="2">
        <f>HYPERLINK("https://app.astro.lead-studio.pro/product/df278595-d6b0-4c94-99d7-221191c79893")</f>
      </c>
    </row>
    <row r="1760" spans="1:10" customHeight="0">
      <c r="A1760" s="2" t="inlineStr">
        <is>
          <t>Ноутбуки</t>
        </is>
      </c>
      <c r="B1760" s="2" t="inlineStr">
        <is>
          <t>Гравитон</t>
        </is>
      </c>
      <c r="C1760" s="2" t="inlineStr">
        <is>
          <t>Н15И-ТП_172630</t>
        </is>
      </c>
      <c r="D1760" s="2" t="inlineStr">
        <is>
          <t>Ноутбук Гравитон Н15И-ТП 15.6"FHD/i5-1135G7/1*16GB/SSD512GB/Wi-Fi+BT/NoOS/1YST</t>
        </is>
      </c>
      <c r="E1760" s="2">
        <v>5</v>
      </c>
      <c r="F1760" s="2">
        <v>5</v>
      </c>
      <c r="H1760" s="2">
        <v>1213</v>
      </c>
      <c r="I1760" s="2" t="inlineStr">
        <is>
          <t>$</t>
        </is>
      </c>
      <c r="J1760" s="2">
        <f>HYPERLINK("https://app.astro.lead-studio.pro/product/0a34bead-9ac1-4f5e-a6de-874e7329b203")</f>
      </c>
    </row>
    <row r="1761" spans="1:10" customHeight="0">
      <c r="A1761" s="2" t="inlineStr">
        <is>
          <t>Ноутбуки</t>
        </is>
      </c>
      <c r="B1761" s="2" t="inlineStr">
        <is>
          <t>Гравитон</t>
        </is>
      </c>
      <c r="C1761" s="2" t="inlineStr">
        <is>
          <t>Н15И-ТП_184631</t>
        </is>
      </c>
      <c r="D1761" s="2" t="inlineStr">
        <is>
          <t>Ноутбук Гравитон Н15И-ТП 15.6"FHD/i5-1135G7/1*16GB/SSD512GB/Wi-Fi+BT/NoOS/1YST</t>
        </is>
      </c>
      <c r="E1761" s="2">
        <v>1</v>
      </c>
      <c r="F1761" s="2">
        <v>1</v>
      </c>
      <c r="H1761" s="2">
        <v>1211</v>
      </c>
      <c r="I1761" s="2" t="inlineStr">
        <is>
          <t>$</t>
        </is>
      </c>
      <c r="J1761" s="2">
        <f>HYPERLINK("https://app.astro.lead-studio.pro/product/af73a7c5-3e6e-44d2-8979-995892f99dda")</f>
      </c>
    </row>
    <row r="1762" spans="1:10" customHeight="0">
      <c r="A1762" s="2" t="inlineStr">
        <is>
          <t>Аксессуары для оргтехники</t>
        </is>
      </c>
      <c r="B1762" s="2" t="inlineStr">
        <is>
          <t>Xerox</t>
        </is>
      </c>
      <c r="C1762" s="2" t="inlineStr">
        <is>
          <t>097S04907||bp</t>
        </is>
      </c>
      <c r="D1762" s="2" t="inlineStr">
        <is>
          <t>Аксессуары к печатной технике Xerox Bad Pack Дополнительный лоток на 520 листов с тумбой XEROX VersaLink B7025/30/35/ C7000/ C7020/25/30 (097S04907) bp</t>
        </is>
      </c>
      <c r="E1762" s="2">
        <v>1</v>
      </c>
      <c r="F1762" s="2">
        <v>1</v>
      </c>
      <c r="H1762" s="2">
        <v>371</v>
      </c>
      <c r="I1762" s="2" t="inlineStr">
        <is>
          <t>$</t>
        </is>
      </c>
      <c r="J1762" s="2">
        <f>HYPERLINK("https://app.astro.lead-studio.pro/product/72e45019-efd6-4a4e-be1d-5e5bf3e698da")</f>
      </c>
    </row>
    <row r="1763" spans="1:10" customHeight="0">
      <c r="A1763" s="2" t="inlineStr">
        <is>
          <t>Аксессуары для оргтехники</t>
        </is>
      </c>
      <c r="B1763" s="2" t="inlineStr">
        <is>
          <t>Kyocera</t>
        </is>
      </c>
      <c r="C1763" s="2" t="inlineStr">
        <is>
          <t>1203V35NL0/1203V35NLV</t>
        </is>
      </c>
      <c r="D1763" s="2" t="inlineStr">
        <is>
          <t>Kyocera Автоподатчик оригиналов (реверсивный)  DP-7150 (140 л.) для TASKalfa 2554ci/3554ci/4054ci/5004i/5054ci/6004i/6054ci/7004i/7054ci / MZ4000i / MZ3200i</t>
        </is>
      </c>
      <c r="E1763" s="2">
        <v>58</v>
      </c>
      <c r="F1763" s="2">
        <v>58</v>
      </c>
      <c r="H1763" s="2">
        <v>599</v>
      </c>
      <c r="I1763" s="2" t="inlineStr">
        <is>
          <t>$</t>
        </is>
      </c>
      <c r="J1763" s="2">
        <f>HYPERLINK("https://app.astro.lead-studio.pro/product/25264760-4a42-4ccf-844a-461c0fde41b9")</f>
      </c>
    </row>
    <row r="1764" spans="1:10" customHeight="0">
      <c r="A1764" s="2" t="inlineStr">
        <is>
          <t>Аксессуары для оргтехники</t>
        </is>
      </c>
      <c r="B1764" s="2" t="inlineStr">
        <is>
          <t>Ricoh</t>
        </is>
      </c>
      <c r="C1764" s="2" t="inlineStr">
        <is>
          <t>406305</t>
        </is>
      </c>
      <c r="D1764" s="2" t="inlineStr">
        <is>
          <t>Аксессуары к печатной технике Ricoh Многоцелевой укладчик копий тип 7140 406305 </t>
        </is>
      </c>
      <c r="E1764" s="2">
        <v>2</v>
      </c>
      <c r="F1764" s="2">
        <v>2</v>
      </c>
      <c r="H1764" s="2">
        <v>838</v>
      </c>
      <c r="I1764" s="2" t="inlineStr">
        <is>
          <t>$</t>
        </is>
      </c>
      <c r="J1764" s="2">
        <f>HYPERLINK("https://app.astro.lead-studio.pro/product/0c3b0cc3-f0a3-4318-b962-bd765975e403")</f>
      </c>
    </row>
    <row r="1765" spans="1:10" customHeight="0">
      <c r="A1765" s="2" t="inlineStr">
        <is>
          <t>Аксессуары для оргтехники</t>
        </is>
      </c>
      <c r="B1765" s="2" t="inlineStr">
        <is>
          <t>Ricoh</t>
        </is>
      </c>
      <c r="C1765" s="2" t="inlineStr">
        <is>
          <t>409095</t>
        </is>
      </c>
      <c r="D1765" s="2" t="inlineStr">
        <is>
          <t>Лоток для загрузки баннеров из ЛБЕ с вакуумной подачей бумаги</t>
        </is>
      </c>
      <c r="E1765" s="2">
        <v>1</v>
      </c>
      <c r="F1765" s="2">
        <v>1</v>
      </c>
      <c r="H1765" s="2">
        <v>2224</v>
      </c>
      <c r="I1765" s="2" t="inlineStr">
        <is>
          <t>$</t>
        </is>
      </c>
      <c r="J1765" s="2">
        <f>HYPERLINK("https://app.astro.lead-studio.pro/product/3ee054c6-ffa8-4c4a-880d-e04b4c12fd5d")</f>
      </c>
    </row>
    <row r="1766" spans="1:10" customHeight="0">
      <c r="A1766" s="2" t="inlineStr">
        <is>
          <t>Аксессуары для оргтехники</t>
        </is>
      </c>
      <c r="B1766" s="2" t="inlineStr">
        <is>
          <t>Ricoh</t>
        </is>
      </c>
      <c r="C1766" s="2" t="inlineStr">
        <is>
          <t>409189</t>
        </is>
      </c>
      <c r="D1766" s="2" t="inlineStr">
        <is>
          <t>Аксессуары к печатной технике Ricoh Ricoh набор для замены 5й красочной секции оператором 5th Station Replacement Kit Type S9 </t>
        </is>
      </c>
      <c r="E1766" s="2">
        <v>1</v>
      </c>
      <c r="F1766" s="2">
        <v>1</v>
      </c>
      <c r="H1766" s="2">
        <v>3400</v>
      </c>
      <c r="I1766" s="2" t="inlineStr">
        <is>
          <t>$</t>
        </is>
      </c>
      <c r="J1766" s="2">
        <f>HYPERLINK("https://app.astro.lead-studio.pro/product/6d601855-87db-44a1-9445-d88f2f7a3f69")</f>
      </c>
    </row>
    <row r="1767" spans="1:10" customHeight="0">
      <c r="A1767" s="2" t="inlineStr">
        <is>
          <t>Аксессуары для оргтехники</t>
        </is>
      </c>
      <c r="B1767" s="2" t="inlineStr">
        <is>
          <t>Ricoh</t>
        </is>
      </c>
      <c r="C1767" s="2" t="inlineStr">
        <is>
          <t>409192</t>
        </is>
      </c>
      <c r="D1767" s="2" t="inlineStr">
        <is>
          <t>Аксессуары к печатной технике Ricoh Ricoh утилита для работы с пятым цветом EFI 5th Station Hardware Upgrade Kit Type S9 </t>
        </is>
      </c>
      <c r="E1767" s="2">
        <v>1</v>
      </c>
      <c r="F1767" s="2">
        <v>1</v>
      </c>
      <c r="H1767" s="2">
        <v>5342</v>
      </c>
      <c r="I1767" s="2" t="inlineStr">
        <is>
          <t>$</t>
        </is>
      </c>
      <c r="J1767" s="2">
        <f>HYPERLINK("https://app.astro.lead-studio.pro/product/ae0170f6-69f4-4f42-b596-fdfeba16e51b")</f>
      </c>
    </row>
    <row r="1768" spans="1:10" customHeight="0">
      <c r="A1768" s="2" t="inlineStr">
        <is>
          <t>Аксессуары для оргтехники</t>
        </is>
      </c>
      <c r="B1768" s="2" t="inlineStr">
        <is>
          <t>Ricoh</t>
        </is>
      </c>
      <c r="C1768" s="2" t="inlineStr">
        <is>
          <t>409193</t>
        </is>
      </c>
      <c r="D1768" s="2" t="inlineStr">
        <is>
          <t>Аксессуары к печатной технике Ricoh модуль для смены тонера Toner Interchange Unit Type S9 </t>
        </is>
      </c>
      <c r="E1768" s="2">
        <v>1</v>
      </c>
      <c r="F1768" s="2">
        <v>1</v>
      </c>
      <c r="H1768" s="2">
        <v>5287</v>
      </c>
      <c r="I1768" s="2" t="inlineStr">
        <is>
          <t>$</t>
        </is>
      </c>
      <c r="J1768" s="2">
        <f>HYPERLINK("https://app.astro.lead-studio.pro/product/803e2535-ce38-4f50-991f-544f59c1fc56")</f>
      </c>
    </row>
    <row r="1769" spans="1:10" customHeight="0">
      <c r="A1769" s="2" t="inlineStr">
        <is>
          <t>Аксессуары для оргтехники</t>
        </is>
      </c>
      <c r="B1769" s="2" t="inlineStr">
        <is>
          <t>Ricoh</t>
        </is>
      </c>
      <c r="C1769" s="2" t="inlineStr">
        <is>
          <t>409251</t>
        </is>
      </c>
      <c r="D1769" s="2" t="inlineStr">
        <is>
          <t>Финишер-степлер тип SR5110</t>
        </is>
      </c>
      <c r="E1769" s="2">
        <v>1</v>
      </c>
      <c r="F1769" s="2">
        <v>1</v>
      </c>
      <c r="H1769" s="2">
        <v>8925</v>
      </c>
      <c r="I1769" s="2" t="inlineStr">
        <is>
          <t>$</t>
        </is>
      </c>
      <c r="J1769" s="2">
        <f>HYPERLINK("https://app.astro.lead-studio.pro/product/6dea90da-fafc-408b-9237-eb50078393ab")</f>
      </c>
    </row>
    <row r="1770" spans="1:10" customHeight="0">
      <c r="A1770" s="2" t="inlineStr">
        <is>
          <t>Аксессуары для оргтехники</t>
        </is>
      </c>
      <c r="B1770" s="2" t="inlineStr">
        <is>
          <t>Ricoh</t>
        </is>
      </c>
      <c r="C1770" s="2" t="inlineStr">
        <is>
          <t>409349</t>
        </is>
      </c>
      <c r="D1770" s="2" t="inlineStr">
        <is>
          <t>Аксессуары к печатной технике Ricoh Ricoh внешний контроллер Fiery E-46A (409349) </t>
        </is>
      </c>
      <c r="E1770" s="2">
        <v>1</v>
      </c>
      <c r="F1770" s="2">
        <v>1</v>
      </c>
      <c r="H1770" s="2">
        <v>36456</v>
      </c>
      <c r="I1770" s="2" t="inlineStr">
        <is>
          <t>$</t>
        </is>
      </c>
      <c r="J1770" s="2">
        <f>HYPERLINK("https://app.astro.lead-studio.pro/product/a17e7cb7-a5fe-49d4-9cf4-adf5f7072e7e")</f>
      </c>
    </row>
    <row r="1771" spans="1:10" customHeight="0">
      <c r="A1771" s="2" t="inlineStr">
        <is>
          <t>Аксессуары для оргтехники</t>
        </is>
      </c>
      <c r="B1771" s="2" t="inlineStr">
        <is>
          <t>Ricoh</t>
        </is>
      </c>
      <c r="C1771" s="2" t="inlineStr">
        <is>
          <t>409390</t>
        </is>
      </c>
      <c r="D1771" s="2" t="inlineStr">
        <is>
          <t>Внешний контроллер Fiery E-27B оригинал для Ricoh Pro C5300S/C5310S </t>
        </is>
      </c>
      <c r="E1771" s="2">
        <v>3</v>
      </c>
      <c r="F1771" s="2">
        <v>3</v>
      </c>
      <c r="H1771" s="2">
        <v>7867</v>
      </c>
      <c r="I1771" s="2" t="inlineStr">
        <is>
          <t>$</t>
        </is>
      </c>
      <c r="J1771" s="2">
        <f>HYPERLINK("https://app.astro.lead-studio.pro/product/315f219b-834d-40a3-bd75-c5e2a1eb952c")</f>
      </c>
    </row>
    <row r="1772" spans="1:10" customHeight="0">
      <c r="A1772" s="2" t="inlineStr">
        <is>
          <t>Аксессуары для оргтехники</t>
        </is>
      </c>
      <c r="B1772" s="2" t="inlineStr">
        <is>
          <t>Ricoh</t>
        </is>
      </c>
      <c r="C1772" s="2" t="inlineStr">
        <is>
          <t>418352</t>
        </is>
      </c>
      <c r="D1772" s="2" t="inlineStr">
        <is>
          <t>Аксессуары к печатной технике Ricoh Кассеты для бумаги Ricoh Paper Feed Unit PB3300 (2x550 л), 300 г/м2</t>
        </is>
      </c>
      <c r="E1772" s="2">
        <v>10</v>
      </c>
      <c r="F1772" s="2">
        <v>10</v>
      </c>
      <c r="H1772" s="2">
        <v>975</v>
      </c>
      <c r="I1772" s="2" t="inlineStr">
        <is>
          <t>$</t>
        </is>
      </c>
      <c r="J1772" s="2">
        <f>HYPERLINK("https://app.astro.lead-studio.pro/product/651b8c16-e3ca-4d14-8a49-229566a012ef")</f>
      </c>
    </row>
    <row r="1773" spans="1:10" customHeight="0">
      <c r="A1773" s="2" t="inlineStr">
        <is>
          <t>Аксессуары для оргтехники</t>
        </is>
      </c>
      <c r="B1773" s="2" t="inlineStr">
        <is>
          <t>Ricoh</t>
        </is>
      </c>
      <c r="C1773" s="2" t="inlineStr">
        <is>
          <t>419368</t>
        </is>
      </c>
      <c r="D1773" s="2" t="inlineStr">
        <is>
          <t>Кассеты для бумаги Ricoh Paper Feed Unit (PB3340)</t>
        </is>
      </c>
      <c r="E1773" s="2">
        <v>27</v>
      </c>
      <c r="F1773" s="2">
        <v>27</v>
      </c>
      <c r="H1773" s="2">
        <v>1012</v>
      </c>
      <c r="I1773" s="2" t="inlineStr">
        <is>
          <t>$</t>
        </is>
      </c>
      <c r="J1773" s="2">
        <f>HYPERLINK("https://app.astro.lead-studio.pro/product/7ca6c991-d771-435d-a1e7-018f24bb3712")</f>
      </c>
    </row>
    <row r="1774" spans="1:10" customHeight="0">
      <c r="A1774" s="2" t="inlineStr">
        <is>
          <t>Аксессуары для оргтехники</t>
        </is>
      </c>
      <c r="B1774" s="2" t="inlineStr">
        <is>
          <t>Konica Minolta</t>
        </is>
      </c>
      <c r="C1774" s="2" t="inlineStr">
        <is>
          <t>A03WWY2</t>
        </is>
      </c>
      <c r="D1774" s="2" t="inlineStr">
        <is>
          <t>Лоток большой емкости Konica-Minolta LU-202m Large Capacity Unit (2500 листов, SRA3) </t>
        </is>
      </c>
      <c r="E1774" s="2">
        <v>2</v>
      </c>
      <c r="F1774" s="2">
        <v>2</v>
      </c>
      <c r="H1774" s="2">
        <v>3743</v>
      </c>
      <c r="I1774" s="2" t="inlineStr">
        <is>
          <t>$</t>
        </is>
      </c>
      <c r="J1774" s="2">
        <f>HYPERLINK("https://app.astro.lead-studio.pro/product/8011bce5-fbfd-4f4b-a499-7a8b3a8b418e")</f>
      </c>
    </row>
    <row r="1775" spans="1:10" customHeight="0">
      <c r="A1775" s="2" t="inlineStr">
        <is>
          <t>Аксессуары для оргтехники</t>
        </is>
      </c>
      <c r="B1775" s="2" t="inlineStr">
        <is>
          <t>Konica Minolta</t>
        </is>
      </c>
      <c r="C1775" s="2" t="inlineStr">
        <is>
          <t>AAYHWY1</t>
        </is>
      </c>
      <c r="D1775" s="2" t="inlineStr">
        <is>
          <t>Аксессуары к печатной технике Konica Minolta Konica Minolta автоподатчик DF-632 реверсивный для Konica-Minolta bizhub C250i/C300i/C360i (100л)</t>
        </is>
      </c>
      <c r="E1775" s="2">
        <v>7</v>
      </c>
      <c r="F1775" s="2">
        <v>7</v>
      </c>
      <c r="H1775" s="2">
        <v>535</v>
      </c>
      <c r="I1775" s="2" t="inlineStr">
        <is>
          <t>$</t>
        </is>
      </c>
      <c r="J1775" s="2">
        <f>HYPERLINK("https://app.astro.lead-studio.pro/product/199a1edd-4fdf-4717-8361-67947b3150d5")</f>
      </c>
    </row>
    <row r="1776" spans="1:10" customHeight="0">
      <c r="A1776" s="2" t="inlineStr">
        <is>
          <t>Аксессуары для оргтехники</t>
        </is>
      </c>
      <c r="B1776" s="2" t="inlineStr">
        <is>
          <t>Катюша</t>
        </is>
      </c>
      <c r="C1776" s="2" t="inlineStr">
        <is>
          <t>CBM348</t>
        </is>
      </c>
      <c r="D1776" s="2" t="inlineStr">
        <is>
          <t>Аксессуары Катюша Катюша CBM348 Тумба оригинальная для МФУ Катюша M348 (CBM348) (854050)</t>
        </is>
      </c>
      <c r="E1776" s="2">
        <v>1</v>
      </c>
      <c r="F1776" s="2">
        <v>1</v>
      </c>
      <c r="H1776" s="2">
        <v>381</v>
      </c>
      <c r="I1776" s="2" t="inlineStr">
        <is>
          <t>$</t>
        </is>
      </c>
      <c r="J1776" s="2">
        <f>HYPERLINK("https://app.astro.lead-studio.pro/product/c731bc07-f13a-4ddd-b564-08c34f4ef998")</f>
      </c>
    </row>
    <row r="1777" spans="1:10" customHeight="0">
      <c r="A1777" s="2" t="inlineStr">
        <is>
          <t>Аксессуары для оргтехники</t>
        </is>
      </c>
      <c r="B1777" s="2" t="inlineStr">
        <is>
          <t>Ricoh</t>
        </is>
      </c>
      <c r="C1777" s="2" t="inlineStr">
        <is>
          <t>D0A42031</t>
        </is>
      </c>
      <c r="D1777" s="2" t="inlineStr">
        <is>
          <t>Блок фотобарабана D0A42031 Ricoh в сборе для Ricoh IM 350/350F/430F/P 501/502 (D0A42021/D0A42011/D0A4-2021/D0A4-2011/D0A42031/D0A4-2031) (40 000 стр)</t>
        </is>
      </c>
      <c r="E1777" s="2">
        <v>100</v>
      </c>
      <c r="F1777" s="2">
        <v>100</v>
      </c>
      <c r="H1777" s="2">
        <v>321</v>
      </c>
      <c r="I1777" s="2" t="inlineStr">
        <is>
          <t>$</t>
        </is>
      </c>
      <c r="J1777" s="2">
        <f>HYPERLINK("https://app.astro.lead-studio.pro/product/4ca9ffb4-4c5c-4bfa-9e5b-8dd8ecf895ff")</f>
      </c>
    </row>
    <row r="1778" spans="1:10" customHeight="0">
      <c r="A1778" s="2" t="inlineStr">
        <is>
          <t>Аксессуары для оргтехники</t>
        </is>
      </c>
      <c r="B1778" s="2" t="inlineStr">
        <is>
          <t>Sindoh</t>
        </is>
      </c>
      <c r="C1778" s="2" t="inlineStr">
        <is>
          <t>DF633</t>
        </is>
      </c>
      <c r="D1778" s="2" t="inlineStr">
        <is>
          <t>Аксессуары Sindoh Sindoh DF-633 автоподатчик для МФУ D330/D332 для МФУ D330/D332</t>
        </is>
      </c>
      <c r="E1778" s="2">
        <v>58</v>
      </c>
      <c r="F1778" s="2">
        <v>58</v>
      </c>
      <c r="H1778" s="2">
        <v>568</v>
      </c>
      <c r="I1778" s="2" t="inlineStr">
        <is>
          <t>$</t>
        </is>
      </c>
      <c r="J1778" s="2">
        <f>HYPERLINK("https://app.astro.lead-studio.pro/product/2682b2da-e30f-44a4-9e60-ce1dc019c7b1")</f>
      </c>
    </row>
    <row r="1779" spans="1:10" customHeight="0">
      <c r="A1779" s="2" t="inlineStr">
        <is>
          <t>Аксессуары для оргтехники</t>
        </is>
      </c>
      <c r="B1779" s="2" t="inlineStr">
        <is>
          <t>Ricoh</t>
        </is>
      </c>
      <c r="C1779" s="2" t="inlineStr">
        <is>
          <t>M0EB2300</t>
        </is>
      </c>
      <c r="D1779" s="2" t="inlineStr">
        <is>
          <t>Блок питания в сборе</t>
        </is>
      </c>
      <c r="E1779" s="2">
        <v>1</v>
      </c>
      <c r="F1779" s="2">
        <v>1</v>
      </c>
      <c r="H1779" s="2">
        <v>3072</v>
      </c>
      <c r="I1779" s="2" t="inlineStr">
        <is>
          <t>$</t>
        </is>
      </c>
      <c r="J1779" s="2">
        <f>HYPERLINK("https://app.astro.lead-studio.pro/product/ece2f45f-ca78-4d94-ac6d-3e68a6c462d7")</f>
      </c>
    </row>
    <row r="1780" spans="1:10" customHeight="0">
      <c r="A1780" s="2" t="inlineStr">
        <is>
          <t>Аксессуары для оргтехники</t>
        </is>
      </c>
      <c r="B1780" s="2" t="inlineStr">
        <is>
          <t>Ricoh</t>
        </is>
      </c>
      <c r="C1780" s="2" t="inlineStr">
        <is>
          <t>M0EB2320</t>
        </is>
      </c>
      <c r="D1780" s="2" t="inlineStr">
        <is>
          <t>Узел очистки в сборе</t>
        </is>
      </c>
      <c r="E1780" s="2">
        <v>10</v>
      </c>
      <c r="F1780" s="2">
        <v>10</v>
      </c>
      <c r="H1780" s="2">
        <v>1044</v>
      </c>
      <c r="I1780" s="2" t="inlineStr">
        <is>
          <t>$</t>
        </is>
      </c>
      <c r="J1780" s="2">
        <f>HYPERLINK("https://app.astro.lead-studio.pro/product/fb4f70fe-304f-49eb-9357-f76a1f7a2579")</f>
      </c>
    </row>
    <row r="1781" spans="1:10" customHeight="0">
      <c r="A1781" s="2" t="inlineStr">
        <is>
          <t>Аксессуары для оргтехники</t>
        </is>
      </c>
      <c r="B1781" s="2" t="inlineStr">
        <is>
          <t>Ricoh</t>
        </is>
      </c>
      <c r="C1781" s="2" t="inlineStr">
        <is>
          <t>M0EB6050</t>
        </is>
      </c>
      <c r="D1781" s="2" t="inlineStr">
        <is>
          <t>Плоская лента переноса в сборе </t>
        </is>
      </c>
      <c r="E1781" s="2">
        <v>1</v>
      </c>
      <c r="F1781" s="2">
        <v>1</v>
      </c>
      <c r="H1781" s="2">
        <v>2192</v>
      </c>
      <c r="I1781" s="2" t="inlineStr">
        <is>
          <t>$</t>
        </is>
      </c>
      <c r="J1781" s="2">
        <f>HYPERLINK("https://app.astro.lead-studio.pro/product/23bda620-caf8-4a6a-9617-9bbb8e793a0d")</f>
      </c>
    </row>
    <row r="1782" spans="1:10" customHeight="0">
      <c r="A1782" s="2" t="inlineStr">
        <is>
          <t>Аксессуары для оргтехники</t>
        </is>
      </c>
      <c r="B1782" s="2" t="inlineStr">
        <is>
          <t>Sindoh</t>
        </is>
      </c>
      <c r="C1782" s="2" t="inlineStr">
        <is>
          <t>OT111</t>
        </is>
      </c>
      <c r="D1782" s="2" t="inlineStr">
        <is>
          <t>Аксессуары Sindoh Sindoh OT111 тумба для МФУ D330e/D332e для МФУ D330e/D332e</t>
        </is>
      </c>
      <c r="E1782" s="2">
        <v>25</v>
      </c>
      <c r="F1782" s="2">
        <v>25</v>
      </c>
      <c r="H1782" s="2">
        <v>848</v>
      </c>
      <c r="I1782" s="2" t="inlineStr">
        <is>
          <t>$</t>
        </is>
      </c>
      <c r="J1782" s="2">
        <f>HYPERLINK("https://app.astro.lead-studio.pro/product/5f880dc7-aa7a-4ee9-acc0-529ca42b50a7")</f>
      </c>
    </row>
    <row r="1783" spans="1:10" customHeight="0">
      <c r="A1783" s="2" t="inlineStr">
        <is>
          <t>Аксессуары для оргтехники</t>
        </is>
      </c>
      <c r="B1783" s="2" t="inlineStr">
        <is>
          <t>Катюша</t>
        </is>
      </c>
      <c r="C1783" s="2" t="inlineStr">
        <is>
          <t>PTM348</t>
        </is>
      </c>
      <c r="D1783" s="2" t="inlineStr">
        <is>
          <t>Аксессуары Катюша Катюша PTM348 (Тумба с двумя подающими лотками на 1000 листов для МФУ Катюша M348) (790624) PTM348</t>
        </is>
      </c>
      <c r="E1783" s="2">
        <v>100</v>
      </c>
      <c r="F1783" s="2">
        <v>100</v>
      </c>
      <c r="H1783" s="2">
        <v>775</v>
      </c>
      <c r="I1783" s="2" t="inlineStr">
        <is>
          <t>$</t>
        </is>
      </c>
      <c r="J1783" s="2">
        <f>HYPERLINK("https://app.astro.lead-studio.pro/product/558f4862-1d63-492a-a9c2-43eb8b877786")</f>
      </c>
    </row>
    <row r="1784" spans="1:10" customHeight="0">
      <c r="A1784" s="2" t="inlineStr">
        <is>
          <t>МФУ</t>
        </is>
      </c>
      <c r="B1784" s="2" t="inlineStr">
        <is>
          <t>Avision</t>
        </is>
      </c>
      <c r="C1784" s="2" t="inlineStr">
        <is>
          <t>000-1078-0KG</t>
        </is>
      </c>
      <c r="D1784" s="2" t="inlineStr">
        <is>
          <t>Avision AM43A Plus (МФУ лазерное A4, 43 стр/мин, 1.2, 2048, дуплекс, tray 550+10, ADF 75, USB, Eth) </t>
        </is>
      </c>
      <c r="E1784" s="2">
        <v>100</v>
      </c>
      <c r="F1784" s="2">
        <v>100</v>
      </c>
      <c r="H1784" s="2">
        <v>545</v>
      </c>
      <c r="I1784" s="2" t="inlineStr">
        <is>
          <t>$</t>
        </is>
      </c>
      <c r="J1784" s="2">
        <f>HYPERLINK("https://app.astro.lead-studio.pro/product/4b8899e0-6dc9-4737-93f0-e919a2b4853a")</f>
      </c>
    </row>
    <row r="1785" spans="1:10" customHeight="0">
      <c r="A1785" s="2" t="inlineStr">
        <is>
          <t>МФУ</t>
        </is>
      </c>
      <c r="B1785" s="2" t="inlineStr">
        <is>
          <t>Avision</t>
        </is>
      </c>
      <c r="C1785" s="2" t="inlineStr">
        <is>
          <t>000-1111-0KG</t>
        </is>
      </c>
      <c r="D1785" s="2" t="inlineStr">
        <is>
          <t>Avision AM40A Plus (МФУ лазерное A4, 40 стр/мин, 2048, дуплекс, tray 550+10, ADF 75, USB, Eth, с.к.3000стр)</t>
        </is>
      </c>
      <c r="E1785" s="2">
        <v>41</v>
      </c>
      <c r="F1785" s="2">
        <v>41</v>
      </c>
      <c r="H1785" s="2">
        <v>504</v>
      </c>
      <c r="I1785" s="2" t="inlineStr">
        <is>
          <t>$</t>
        </is>
      </c>
      <c r="J1785" s="2">
        <f>HYPERLINK("https://app.astro.lead-studio.pro/product/8bda3711-2ad9-43c4-bdd3-82e9c491eea5")</f>
      </c>
    </row>
    <row r="1786" spans="1:10" customHeight="0">
      <c r="A1786" s="2" t="inlineStr">
        <is>
          <t>МФУ</t>
        </is>
      </c>
      <c r="B1786" s="2" t="inlineStr">
        <is>
          <t>OKI</t>
        </is>
      </c>
      <c r="C1786" s="2" t="inlineStr">
        <is>
          <t>09006108</t>
        </is>
      </c>
      <c r="D1786" s="2" t="inlineStr">
        <is>
          <t>МФУ OKI MC883dnct цветное; A4/A3 - 35/20; АПД на 100 листов; Факс; Степлер; API-платформа; Дуплекс; Лоток: 4 </t>
        </is>
      </c>
      <c r="E1786" s="2">
        <v>2</v>
      </c>
      <c r="F1786" s="2">
        <v>2</v>
      </c>
      <c r="H1786" s="2">
        <v>5875</v>
      </c>
      <c r="I1786" s="2" t="inlineStr">
        <is>
          <t>$</t>
        </is>
      </c>
      <c r="J1786" s="2">
        <f>HYPERLINK("https://app.astro.lead-studio.pro/product/410c5dc4-5e86-4950-9fc1-4cebbd4de27f")</f>
      </c>
    </row>
    <row r="1787" spans="1:10" customHeight="0">
      <c r="A1787" s="2" t="inlineStr">
        <is>
          <t>МФУ</t>
        </is>
      </c>
      <c r="B1787" s="2" t="inlineStr">
        <is>
          <t>OKI</t>
        </is>
      </c>
      <c r="C1787" s="2" t="inlineStr">
        <is>
          <t>09006109</t>
        </is>
      </c>
      <c r="D1787" s="2" t="inlineStr">
        <is>
          <t>МФУ OKI MC883dnv цветное; A4/A3 - 35/20; АПД на 100 листов; Факс; Степлер; API-платформа; Дуплекс; Лоток:200 </t>
        </is>
      </c>
      <c r="E1787" s="2">
        <v>7</v>
      </c>
      <c r="F1787" s="2">
        <v>7</v>
      </c>
      <c r="H1787" s="2">
        <v>3746</v>
      </c>
      <c r="I1787" s="2" t="inlineStr">
        <is>
          <t>$</t>
        </is>
      </c>
      <c r="J1787" s="2">
        <f>HYPERLINK("https://app.astro.lead-studio.pro/product/60f3fe1d-85f3-45b8-83dc-516b4bfdd8ed")</f>
      </c>
    </row>
    <row r="1788" spans="1:10" customHeight="0">
      <c r="A1788" s="2" t="inlineStr">
        <is>
          <t>МФУ</t>
        </is>
      </c>
      <c r="B1788" s="2" t="inlineStr">
        <is>
          <t>Kyocera</t>
        </is>
      </c>
      <c r="C1788" s="2" t="inlineStr">
        <is>
          <t>1102P13NL0</t>
        </is>
      </c>
      <c r="D1788" s="2" t="inlineStr">
        <is>
          <t>МФУ Kyocera ECOSYS M4132idn P/C/S, ч/б лазерный, A3, 32/17(A4/A3) стр/мин, 1200*1200 dpi, 1 Гб, USB 2.0</t>
        </is>
      </c>
      <c r="E1788" s="2">
        <v>18</v>
      </c>
      <c r="F1788" s="2">
        <v>18</v>
      </c>
      <c r="H1788" s="2">
        <v>1757</v>
      </c>
      <c r="I1788" s="2" t="inlineStr">
        <is>
          <t>$</t>
        </is>
      </c>
      <c r="J1788" s="2">
        <f>HYPERLINK("https://app.astro.lead-studio.pro/product/47a0cf6b-2410-414a-9280-708f148ee299")</f>
      </c>
    </row>
    <row r="1789" spans="1:10" customHeight="0">
      <c r="A1789" s="2" t="inlineStr">
        <is>
          <t>МФУ</t>
        </is>
      </c>
      <c r="B1789" s="2" t="inlineStr">
        <is>
          <t>Kyocera</t>
        </is>
      </c>
      <c r="C1789" s="2" t="inlineStr">
        <is>
          <t>1102P23NL0</t>
        </is>
      </c>
      <c r="D1789" s="2" t="inlineStr">
        <is>
          <t>МФУ Kyocera  M4125idn (лазерное A3, P/C/S/,25 стр/мин,1Gb,USB,Network,Duplex,автоподатчик,пуск. комплект)</t>
        </is>
      </c>
      <c r="E1789" s="2">
        <v>50</v>
      </c>
      <c r="F1789" s="2">
        <v>50</v>
      </c>
      <c r="H1789" s="2">
        <v>1532</v>
      </c>
      <c r="I1789" s="2" t="inlineStr">
        <is>
          <t>$</t>
        </is>
      </c>
      <c r="J1789" s="2">
        <f>HYPERLINK("https://app.astro.lead-studio.pro/product/f40cb6e8-d830-481b-9826-53ddb435fce4")</f>
      </c>
    </row>
    <row r="1790" spans="1:10" customHeight="0">
      <c r="A1790" s="2" t="inlineStr">
        <is>
          <t>МФУ</t>
        </is>
      </c>
      <c r="B1790" s="2" t="inlineStr">
        <is>
          <t>Kyocera</t>
        </is>
      </c>
      <c r="C1790" s="2" t="inlineStr">
        <is>
          <t>1102S13NL0</t>
        </is>
      </c>
      <c r="D1790" s="2" t="inlineStr">
        <is>
          <t>МФУ Kyocera M2635DN (лазерное P/S/C/F, А4, 35 ppm, 1200 dpi, 512 Mb, USB, LAN, duplex, автопод) (1102S13NL0) (040270)</t>
        </is>
      </c>
      <c r="E1790" s="2">
        <v>50</v>
      </c>
      <c r="F1790" s="2">
        <v>50</v>
      </c>
      <c r="H1790" s="2">
        <v>605</v>
      </c>
      <c r="I1790" s="2" t="inlineStr">
        <is>
          <t>$</t>
        </is>
      </c>
      <c r="J1790" s="2">
        <f>HYPERLINK("https://app.astro.lead-studio.pro/product/f303870f-5a4c-4f34-9644-2926cc3c54eb")</f>
      </c>
    </row>
    <row r="1791" spans="1:10" customHeight="0">
      <c r="A1791" s="2" t="inlineStr">
        <is>
          <t>МФУ</t>
        </is>
      </c>
      <c r="B1791" s="2" t="inlineStr">
        <is>
          <t>Kyocera</t>
        </is>
      </c>
      <c r="C1791" s="2" t="inlineStr">
        <is>
          <t>1102S13NL0||bp</t>
        </is>
      </c>
      <c r="D1791" s="2" t="inlineStr">
        <is>
          <t>МФУ Kyocera Bad Pack M2635DN (лазерное P/S/C/F, А4, 35 ppm, 1200 dpi, 512 Mb, USB, LAN, duplex, автопод) (1102S13NL0) (040270)</t>
        </is>
      </c>
      <c r="E1791" s="2">
        <v>3</v>
      </c>
      <c r="F1791" s="2">
        <v>3</v>
      </c>
      <c r="H1791" s="2">
        <v>584</v>
      </c>
      <c r="I1791" s="2" t="inlineStr">
        <is>
          <t>$</t>
        </is>
      </c>
      <c r="J1791" s="2">
        <f>HYPERLINK("https://app.astro.lead-studio.pro/product/de0b3506-a429-47b2-8122-0335a7d1d68c")</f>
      </c>
    </row>
    <row r="1792" spans="1:10" customHeight="0">
      <c r="A1792" s="2" t="inlineStr">
        <is>
          <t>МФУ</t>
        </is>
      </c>
      <c r="B1792" s="2" t="inlineStr">
        <is>
          <t>Kyocera</t>
        </is>
      </c>
      <c r="C1792" s="2" t="inlineStr">
        <is>
          <t>1102SG3NL0</t>
        </is>
      </c>
      <c r="D1792" s="2" t="inlineStr">
        <is>
          <t>МФУ Kyocera M2735dw (лазерное А4, P/C/S/F, 35 стр/мин, 512 Mb, USB 2.0, Ethernet, 50-sheet reversing DP std,Wi-Fi, NFC, Airprint, 1200х1200 dpi)</t>
        </is>
      </c>
      <c r="E1792" s="2">
        <v>13</v>
      </c>
      <c r="F1792" s="2">
        <v>13</v>
      </c>
      <c r="H1792" s="2">
        <v>680</v>
      </c>
      <c r="I1792" s="2" t="inlineStr">
        <is>
          <t>$</t>
        </is>
      </c>
      <c r="J1792" s="2">
        <f>HYPERLINK("https://app.astro.lead-studio.pro/product/d910032c-90fc-4143-87f0-80dbfff992de")</f>
      </c>
    </row>
    <row r="1793" spans="1:10" customHeight="0">
      <c r="A1793" s="2" t="inlineStr">
        <is>
          <t>МФУ</t>
        </is>
      </c>
      <c r="B1793" s="2" t="inlineStr">
        <is>
          <t>Kyocera</t>
        </is>
      </c>
      <c r="C1793" s="2" t="inlineStr">
        <is>
          <t>1102Z33NL0</t>
        </is>
      </c>
      <c r="D1793" s="2" t="inlineStr">
        <is>
          <t>Kyocera Ecosys MA3500cifx A4, МФУ, лазерное, цветное, 35стр/мин, 1200dpi, 1200МГц, 1500Мб, 100АПД,  250+100, AirPrint/USB/ Ethernet, 3500стр/картридж, [1102Z33NL0]</t>
        </is>
      </c>
      <c r="E1793" s="2">
        <v>5</v>
      </c>
      <c r="F1793" s="2">
        <v>5</v>
      </c>
      <c r="H1793" s="2">
        <v>838</v>
      </c>
      <c r="I1793" s="2" t="inlineStr">
        <is>
          <t>$</t>
        </is>
      </c>
      <c r="J1793" s="2">
        <f>HYPERLINK("https://app.astro.lead-studio.pro/product/822dba6a-d2a6-425b-9f91-ce5747102d38")</f>
      </c>
    </row>
    <row r="1794" spans="1:10" customHeight="0">
      <c r="A1794" s="2" t="inlineStr">
        <is>
          <t>МФУ</t>
        </is>
      </c>
      <c r="B1794" s="2" t="inlineStr">
        <is>
          <t>Kyocera</t>
        </is>
      </c>
      <c r="C1794" s="2" t="inlineStr">
        <is>
          <t>1102ZT3NL0</t>
        </is>
      </c>
      <c r="D1794" s="2" t="inlineStr">
        <is>
          <t>Kyocera TASKalfa MZ3200i  (P/C/S, ч/б лазерный, A3, 32 стр/мин, 1200x1200 dpi, 4 Гб, 32 Гб SSD, USB 3.0, Network, лотки 2х500 л., Duplex, ADF)</t>
        </is>
      </c>
      <c r="E1794" s="2">
        <v>10</v>
      </c>
      <c r="F1794" s="2">
        <v>10</v>
      </c>
      <c r="H1794" s="2">
        <v>2108</v>
      </c>
      <c r="I1794" s="2" t="inlineStr">
        <is>
          <t>$</t>
        </is>
      </c>
      <c r="J1794" s="2">
        <f>HYPERLINK("https://app.astro.lead-studio.pro/product/6b573958-f3c1-4b29-ac2f-1136d10e3101")</f>
      </c>
    </row>
    <row r="1795" spans="1:10" customHeight="0">
      <c r="A1795" s="2" t="inlineStr">
        <is>
          <t>МФУ</t>
        </is>
      </c>
      <c r="B1795" s="2" t="inlineStr">
        <is>
          <t>Kyocera</t>
        </is>
      </c>
      <c r="C1795" s="2" t="inlineStr">
        <is>
          <t>110C103NL0</t>
        </is>
      </c>
      <c r="D1795" s="2" t="inlineStr">
        <is>
          <t>Kyocera ECOSYS MA4500ifx A4, МФУ, лазерное, черно-белое , 45стр/мин, 1200dpi, 1400МГц, 1536Мб, 512Гб, 75АПД, Ethernet/USB, 6000стр/картридж, [110C103NL0]</t>
        </is>
      </c>
      <c r="E1795" s="2">
        <v>66</v>
      </c>
      <c r="F1795" s="2">
        <v>66</v>
      </c>
      <c r="H1795" s="2">
        <v>1011</v>
      </c>
      <c r="I1795" s="2" t="inlineStr">
        <is>
          <t>$</t>
        </is>
      </c>
      <c r="J1795" s="2">
        <f>HYPERLINK("https://app.astro.lead-studio.pro/product/366c166b-dab9-4519-a902-f53a672f7ddb")</f>
      </c>
    </row>
    <row r="1796" spans="1:10" customHeight="0">
      <c r="A1796" s="2" t="inlineStr">
        <is>
          <t>МФУ</t>
        </is>
      </c>
      <c r="B1796" s="2" t="inlineStr">
        <is>
          <t>Kyocera</t>
        </is>
      </c>
      <c r="C1796" s="2" t="inlineStr">
        <is>
          <t>110C103NL0||bp</t>
        </is>
      </c>
      <c r="D1796" s="2" t="inlineStr">
        <is>
          <t>МФУ Kyocera Bad Pack Kyocera Ecosys MA4500ifx A4, МФУ, лазерное, черно-белое , 45стр/мин, 1200dpi, 1400МГц, 1536Мб, 512Гб, 75АПД, Ethernet/USB, 6000стр/картридж, (110C103NL0)
bp</t>
        </is>
      </c>
      <c r="E1796" s="2">
        <v>2</v>
      </c>
      <c r="F1796" s="2">
        <v>2</v>
      </c>
      <c r="H1796" s="2">
        <v>978</v>
      </c>
      <c r="I1796" s="2" t="inlineStr">
        <is>
          <t>$</t>
        </is>
      </c>
      <c r="J1796" s="2">
        <f>HYPERLINK("https://app.astro.lead-studio.pro/product/da6c3398-0860-4881-b3ab-e4e86ce031dc")</f>
      </c>
    </row>
    <row r="1797" spans="1:10" customHeight="0">
      <c r="A1797" s="2" t="inlineStr">
        <is>
          <t>МФУ</t>
        </is>
      </c>
      <c r="B1797" s="2" t="inlineStr">
        <is>
          <t>Kyocera</t>
        </is>
      </c>
      <c r="C1797" s="2" t="inlineStr">
        <is>
          <t>110C113NL0</t>
        </is>
      </c>
      <c r="D1797" s="2" t="inlineStr">
        <is>
          <t>МФУ Kyocera MA4500ix монохромный лазерный </t>
        </is>
      </c>
      <c r="E1797" s="2">
        <v>3</v>
      </c>
      <c r="F1797" s="2">
        <v>3</v>
      </c>
      <c r="H1797" s="2">
        <v>967</v>
      </c>
      <c r="I1797" s="2" t="inlineStr">
        <is>
          <t>$</t>
        </is>
      </c>
      <c r="J1797" s="2">
        <f>HYPERLINK("https://app.astro.lead-studio.pro/product/0f7cde62-bf89-4145-b467-3e26b0acaaba")</f>
      </c>
    </row>
    <row r="1798" spans="1:10" customHeight="0">
      <c r="A1798" s="2" t="inlineStr">
        <is>
          <t>МФУ</t>
        </is>
      </c>
      <c r="B1798" s="2" t="inlineStr">
        <is>
          <t>Kyocera</t>
        </is>
      </c>
      <c r="C1798" s="2" t="inlineStr">
        <is>
          <t>110C123NL0</t>
        </is>
      </c>
      <c r="D1798" s="2" t="inlineStr">
        <is>
          <t>Kyocera ECOSYS MA4500fx (P/C/S/F, ч/б лазерный, A4, 45 стр/мин, 1200x1200 dpi, 1 Гб, USB 2.0, Network, лоток 500 л., Duplex, DADF, старт.тонер 6000 стр.)</t>
        </is>
      </c>
      <c r="E1798" s="2">
        <v>17</v>
      </c>
      <c r="F1798" s="2">
        <v>17</v>
      </c>
      <c r="H1798" s="2">
        <v>894</v>
      </c>
      <c r="I1798" s="2" t="inlineStr">
        <is>
          <t>$</t>
        </is>
      </c>
      <c r="J1798" s="2">
        <f>HYPERLINK("https://app.astro.lead-studio.pro/product/53b5091c-ea36-4e85-aaf0-f51fb8c3f1be")</f>
      </c>
    </row>
    <row r="1799" spans="1:10" customHeight="0">
      <c r="A1799" s="2" t="inlineStr">
        <is>
          <t>МФУ</t>
        </is>
      </c>
      <c r="B1799" s="2" t="inlineStr">
        <is>
          <t>Kyocera</t>
        </is>
      </c>
      <c r="C1799" s="2" t="inlineStr">
        <is>
          <t>110C133NL0</t>
        </is>
      </c>
      <c r="D1799" s="2" t="inlineStr">
        <is>
          <t>МФУ Kyocera ECOSYS MA4500x (P/S/C, черно-белая печать, А4, 45 стр/мин, 1200 х 1200 dpi, duplex, 1 024 МБ, USB 2.0, Gigabit Ethernet) </t>
        </is>
      </c>
      <c r="E1799" s="2">
        <v>1</v>
      </c>
      <c r="F1799" s="2">
        <v>1</v>
      </c>
      <c r="H1799" s="2">
        <v>849</v>
      </c>
      <c r="I1799" s="2" t="inlineStr">
        <is>
          <t>$</t>
        </is>
      </c>
      <c r="J1799" s="2">
        <f>HYPERLINK("https://app.astro.lead-studio.pro/product/8817647e-e839-47ae-8c1e-ec087121e9e3")</f>
      </c>
    </row>
    <row r="1800" spans="1:10" customHeight="0">
      <c r="A1800" s="2" t="inlineStr">
        <is>
          <t>МФУ</t>
        </is>
      </c>
      <c r="B1800" s="2" t="inlineStr">
        <is>
          <t>HP</t>
        </is>
      </c>
      <c r="C1800" s="2" t="inlineStr">
        <is>
          <t>1PV64A</t>
        </is>
      </c>
      <c r="D1800" s="2" t="inlineStr">
        <is>
          <t>МФУ HP HP LaserJet Enterprise M528dn (МФУ лазерный P/S/C, A4 Duplex Net белый/черный)</t>
        </is>
      </c>
      <c r="E1800" s="2">
        <v>1</v>
      </c>
      <c r="F1800" s="2">
        <v>1</v>
      </c>
      <c r="H1800" s="2">
        <v>1868</v>
      </c>
      <c r="I1800" s="2" t="inlineStr">
        <is>
          <t>$</t>
        </is>
      </c>
      <c r="J1800" s="2">
        <f>HYPERLINK("https://app.astro.lead-studio.pro/product/26a726af-6fb6-42c8-a7ae-f7963df2bc2d")</f>
      </c>
    </row>
    <row r="1801" spans="1:10" customHeight="0">
      <c r="A1801" s="2" t="inlineStr">
        <is>
          <t>МФУ</t>
        </is>
      </c>
      <c r="B1801" s="2" t="inlineStr">
        <is>
          <t>HP</t>
        </is>
      </c>
      <c r="C1801" s="2" t="inlineStr">
        <is>
          <t>2Z627A#B19</t>
        </is>
      </c>
      <c r="D1801" s="2" t="inlineStr">
        <is>
          <t>HP LaserJet Pro 4103dw А4, МФУ, лазерное, черно-белое, 40стр/мин, 1200dpi, 1200МГц, 512Мб, 50АПД, 100+250, Ethernet /USB/WiFi, 3050стр/картридж, (2Z627A#B19)</t>
        </is>
      </c>
      <c r="E1801" s="2">
        <v>100</v>
      </c>
      <c r="F1801" s="2">
        <v>100</v>
      </c>
      <c r="H1801" s="2">
        <v>440</v>
      </c>
      <c r="I1801" s="2" t="inlineStr">
        <is>
          <t>$</t>
        </is>
      </c>
      <c r="J1801" s="2">
        <f>HYPERLINK("https://app.astro.lead-studio.pro/product/4592cbfc-78af-488c-899b-32d585fa807b")</f>
      </c>
    </row>
    <row r="1802" spans="1:10" customHeight="0">
      <c r="A1802" s="2" t="inlineStr">
        <is>
          <t>МФУ</t>
        </is>
      </c>
      <c r="B1802" s="2" t="inlineStr">
        <is>
          <t>HP</t>
        </is>
      </c>
      <c r="C1802" s="2" t="inlineStr">
        <is>
          <t>2Z627A#B19||bp</t>
        </is>
      </c>
      <c r="D1802" s="2" t="inlineStr">
        <is>
          <t>МФУ HP LaserJet Pro MFP M4103dw 2Z627A (A4, Printer/Scanner/Copier/ADF, 1200 dpi, 38 ppm, 512 Mb, 1200 MHz, tray 100+250 pages, USB+Ethernet+WiFi, Duplex, месячная нагрузка 80K pages, стартовый картридж 3К)</t>
        </is>
      </c>
      <c r="E1802" s="2">
        <v>9</v>
      </c>
      <c r="F1802" s="2">
        <v>9</v>
      </c>
      <c r="H1802" s="2">
        <v>457</v>
      </c>
      <c r="I1802" s="2" t="inlineStr">
        <is>
          <t>$</t>
        </is>
      </c>
      <c r="J1802" s="2">
        <f>HYPERLINK("https://app.astro.lead-studio.pro/product/f765701a-d12a-438a-a05b-19a7ae136913")</f>
      </c>
    </row>
    <row r="1803" spans="1:10" customHeight="0">
      <c r="A1803" s="2" t="inlineStr">
        <is>
          <t>МФУ</t>
        </is>
      </c>
      <c r="B1803" s="2" t="inlineStr">
        <is>
          <t>HP</t>
        </is>
      </c>
      <c r="C1803" s="2" t="inlineStr">
        <is>
          <t>2Z628A#B19</t>
        </is>
      </c>
      <c r="D1803" s="2" t="inlineStr">
        <is>
          <t>МФУ HP LaserJet Pro MFP M4103fdn лазерный 2Z628A A4, 1200dpi, 38ppm, 512Mb, 1200 MHz tray 100+250</t>
        </is>
      </c>
      <c r="E1803" s="2">
        <v>50</v>
      </c>
      <c r="F1803" s="2">
        <v>50</v>
      </c>
      <c r="H1803" s="2">
        <v>470</v>
      </c>
      <c r="I1803" s="2" t="inlineStr">
        <is>
          <t>$</t>
        </is>
      </c>
      <c r="J1803" s="2">
        <f>HYPERLINK("https://app.astro.lead-studio.pro/product/197bf6eb-08d4-47a0-b147-a4d19f529897")</f>
      </c>
    </row>
    <row r="1804" spans="1:10" customHeight="0">
      <c r="A1804" s="2" t="inlineStr">
        <is>
          <t>МФУ</t>
        </is>
      </c>
      <c r="B1804" s="2" t="inlineStr">
        <is>
          <t>HP</t>
        </is>
      </c>
      <c r="C1804" s="2" t="inlineStr">
        <is>
          <t>2Z628A#B19||bp</t>
        </is>
      </c>
      <c r="D1804" s="2" t="inlineStr">
        <is>
          <t>HP LaserJet Pro MFP M4103fdn 2Z628A (A4, Printer/Scanner/Copier/ADF/Fax, 1200 dpi, 38 ppm, 512 Mb, 1200 MHz, tray 100+250 pages, USB+Ethernet+WiFi, Duplex, месячная нагрузка 80K pages)</t>
        </is>
      </c>
      <c r="E1804" s="2">
        <v>1</v>
      </c>
      <c r="F1804" s="2">
        <v>1</v>
      </c>
      <c r="H1804" s="2">
        <v>482</v>
      </c>
      <c r="I1804" s="2" t="inlineStr">
        <is>
          <t>$</t>
        </is>
      </c>
      <c r="J1804" s="2">
        <f>HYPERLINK("https://app.astro.lead-studio.pro/product/fd39660a-2a11-4049-b150-ed2ed9640474")</f>
      </c>
    </row>
    <row r="1805" spans="1:10" customHeight="0">
      <c r="A1805" s="2" t="inlineStr">
        <is>
          <t>МФУ</t>
        </is>
      </c>
      <c r="B1805" s="2" t="inlineStr">
        <is>
          <t>HP</t>
        </is>
      </c>
      <c r="C1805" s="2" t="inlineStr">
        <is>
          <t>2Z629A</t>
        </is>
      </c>
      <c r="D1805" s="2" t="inlineStr">
        <is>
          <t>МФУ HP LaserJet Pro MFP M4103fdw 2Z629A (A4, Printer/Scanner/Copier/ADF/Fax, 1200 dpi, 38 ppm, 512 Mb, 1200 MHz, tray 100+250 pages, USB+Ethernet+WiFi, Duplex, месячная нагрузка 80K pages, стартовый картридж 3К)</t>
        </is>
      </c>
      <c r="E1805" s="2">
        <v>100</v>
      </c>
      <c r="F1805" s="2">
        <v>100</v>
      </c>
      <c r="H1805" s="2">
        <v>468</v>
      </c>
      <c r="I1805" s="2" t="inlineStr">
        <is>
          <t>$</t>
        </is>
      </c>
      <c r="J1805" s="2">
        <f>HYPERLINK("https://app.astro.lead-studio.pro/product/d63afd24-ad83-48d8-950b-4f125718dd85")</f>
      </c>
    </row>
    <row r="1806" spans="1:10" customHeight="0">
      <c r="A1806" s="2" t="inlineStr">
        <is>
          <t>МФУ</t>
        </is>
      </c>
      <c r="B1806" s="2" t="inlineStr">
        <is>
          <t>HP</t>
        </is>
      </c>
      <c r="C1806" s="2" t="inlineStr">
        <is>
          <t>2Z629A||bp</t>
        </is>
      </c>
      <c r="D1806" s="2" t="inlineStr">
        <is>
          <t>МФУ HP LaserJet Pro MFP M4103fdw 2Z629A (A4, Printer/Scanner/Copier/ADF/Fax, 1200 dpi, 38 ppm, 512 Mb, 1200 MHz, tray 100+250 pages, USB+Ethernet+WiFi, Duplex, месячная нагрузка 80K pages, стартовый картридж 3К)</t>
        </is>
      </c>
      <c r="E1806" s="2">
        <v>1</v>
      </c>
      <c r="F1806" s="2">
        <v>1</v>
      </c>
      <c r="H1806" s="2">
        <v>482</v>
      </c>
      <c r="I1806" s="2" t="inlineStr">
        <is>
          <t>$</t>
        </is>
      </c>
      <c r="J1806" s="2">
        <f>HYPERLINK("https://app.astro.lead-studio.pro/product/52c29384-82ef-4129-858d-32c6cdb7f777")</f>
      </c>
    </row>
    <row r="1807" spans="1:10" customHeight="0">
      <c r="A1807" s="2" t="inlineStr">
        <is>
          <t>МФУ</t>
        </is>
      </c>
      <c r="B1807" s="2" t="inlineStr">
        <is>
          <t>HP</t>
        </is>
      </c>
      <c r="C1807" s="2" t="inlineStr">
        <is>
          <t>3PZ55A</t>
        </is>
      </c>
      <c r="D1807" s="2" t="inlineStr">
        <is>
          <t>МФУ HP LaserJet Enterprise M430f (A4, 1200dpi, 40 с/м, 2048Mb, 2 лотка (250+100л), duplex, USB/GLAN) </t>
        </is>
      </c>
      <c r="E1807" s="2">
        <v>50</v>
      </c>
      <c r="F1807" s="2">
        <v>50</v>
      </c>
      <c r="H1807" s="2">
        <v>643</v>
      </c>
      <c r="I1807" s="2" t="inlineStr">
        <is>
          <t>$</t>
        </is>
      </c>
      <c r="J1807" s="2">
        <f>HYPERLINK("https://app.astro.lead-studio.pro/product/734eb98e-a863-4c8d-ae99-dfe560236c0b")</f>
      </c>
    </row>
    <row r="1808" spans="1:10" customHeight="0">
      <c r="A1808" s="2" t="inlineStr">
        <is>
          <t>МФУ</t>
        </is>
      </c>
      <c r="B1808" s="2" t="inlineStr">
        <is>
          <t>HP</t>
        </is>
      </c>
      <c r="C1808" s="2" t="inlineStr">
        <is>
          <t>3PZ55A||bp</t>
        </is>
      </c>
      <c r="D1808" s="2" t="inlineStr">
        <is>
          <t>МФУ HP LaserJet Enterprise M430f (A4, 1200dpi, 40 с/м, 2048Mb, 2 лотка (250+100л), duplex, USB/GLAN) </t>
        </is>
      </c>
      <c r="E1808" s="2">
        <v>4</v>
      </c>
      <c r="F1808" s="2">
        <v>4</v>
      </c>
      <c r="H1808" s="2">
        <v>680</v>
      </c>
      <c r="I1808" s="2" t="inlineStr">
        <is>
          <t>$</t>
        </is>
      </c>
      <c r="J1808" s="2">
        <f>HYPERLINK("https://app.astro.lead-studio.pro/product/90e9c9bc-797c-4284-bdfa-59e87f2f9301")</f>
      </c>
    </row>
    <row r="1809" spans="1:10" customHeight="0">
      <c r="A1809" s="2" t="inlineStr">
        <is>
          <t>МФУ</t>
        </is>
      </c>
      <c r="B1809" s="2" t="inlineStr">
        <is>
          <t>HP</t>
        </is>
      </c>
      <c r="C1809" s="2" t="inlineStr">
        <is>
          <t>3QA55A</t>
        </is>
      </c>
      <c r="D1809" s="2" t="inlineStr">
        <is>
          <t>МФУ HP HP Color LaserJet Pro M480f (МФУ лазерный P/S/C/F, A4 Duplex Net белый/черный)</t>
        </is>
      </c>
      <c r="E1809" s="2">
        <v>18</v>
      </c>
      <c r="F1809" s="2">
        <v>18</v>
      </c>
      <c r="H1809" s="2">
        <v>651</v>
      </c>
      <c r="I1809" s="2" t="inlineStr">
        <is>
          <t>$</t>
        </is>
      </c>
      <c r="J1809" s="2">
        <f>HYPERLINK("https://app.astro.lead-studio.pro/product/f4a97eca-8226-4706-8374-83a648af484e")</f>
      </c>
    </row>
    <row r="1810" spans="1:10" customHeight="0">
      <c r="A1810" s="2" t="inlineStr">
        <is>
          <t>МФУ</t>
        </is>
      </c>
      <c r="B1810" s="2" t="inlineStr">
        <is>
          <t>HP</t>
        </is>
      </c>
      <c r="C1810" s="2" t="inlineStr">
        <is>
          <t>3QA55A||bp</t>
        </is>
      </c>
      <c r="D1810" s="2" t="inlineStr">
        <is>
          <t>МФУ HP Bad Pack HP Color LaserJet Enterprise M480f А4, МФУ, лазерное, цветное, 27стр/мин, 600dpi, 800МГц, 2Гб,50АПД,  250+50, AirPrint/USB/Ethernet, 2400стр/картридж, (3QA55A)
 bp</t>
        </is>
      </c>
      <c r="E1810" s="2">
        <v>1</v>
      </c>
      <c r="F1810" s="2">
        <v>1</v>
      </c>
      <c r="H1810" s="2">
        <v>648</v>
      </c>
      <c r="I1810" s="2" t="inlineStr">
        <is>
          <t>$</t>
        </is>
      </c>
      <c r="J1810" s="2">
        <f>HYPERLINK("https://app.astro.lead-studio.pro/product/84e3ae1a-42e9-4a43-9962-3995a2990f9c")</f>
      </c>
    </row>
    <row r="1811" spans="1:10" customHeight="0">
      <c r="A1811" s="2" t="inlineStr">
        <is>
          <t>МФУ</t>
        </is>
      </c>
      <c r="B1811" s="2" t="inlineStr">
        <is>
          <t>Ricoh</t>
        </is>
      </c>
      <c r="C1811" s="2" t="inlineStr">
        <is>
          <t>408534</t>
        </is>
      </c>
      <c r="D1811" s="2" t="inlineStr">
        <is>
          <t>Монохромное А4 МФУ 4-в-1 Ricoh M 320F </t>
        </is>
      </c>
      <c r="E1811" s="2">
        <v>28</v>
      </c>
      <c r="F1811" s="2">
        <v>28</v>
      </c>
      <c r="H1811" s="2">
        <v>363</v>
      </c>
      <c r="I1811" s="2" t="inlineStr">
        <is>
          <t>$</t>
        </is>
      </c>
      <c r="J1811" s="2">
        <f>HYPERLINK("https://app.astro.lead-studio.pro/product/ed39496f-53bf-469b-986c-a560bf51aee0")</f>
      </c>
    </row>
    <row r="1812" spans="1:10" customHeight="0">
      <c r="A1812" s="2" t="inlineStr">
        <is>
          <t>МФУ</t>
        </is>
      </c>
      <c r="B1812" s="2" t="inlineStr">
        <is>
          <t>Ricoh</t>
        </is>
      </c>
      <c r="C1812" s="2" t="inlineStr">
        <is>
          <t>409165</t>
        </is>
      </c>
      <c r="D1812" s="2" t="inlineStr">
        <is>
          <t>МФУ Цифровая печатная машина Ricoh PRO C7200X</t>
        </is>
      </c>
      <c r="E1812" s="2">
        <v>1</v>
      </c>
      <c r="F1812" s="2">
        <v>1</v>
      </c>
      <c r="H1812" s="2">
        <v>163911</v>
      </c>
      <c r="I1812" s="2" t="inlineStr">
        <is>
          <t>$</t>
        </is>
      </c>
      <c r="J1812" s="2">
        <f>HYPERLINK("https://app.astro.lead-studio.pro/product/0996486b-16b0-4627-9c12-56aaf145b564")</f>
      </c>
    </row>
    <row r="1813" spans="1:10" customHeight="0">
      <c r="A1813" s="2" t="inlineStr">
        <is>
          <t>МФУ</t>
        </is>
      </c>
      <c r="B1813" s="2" t="inlineStr">
        <is>
          <t>Ricoh</t>
        </is>
      </c>
      <c r="C1813" s="2" t="inlineStr">
        <is>
          <t>409394</t>
        </is>
      </c>
      <c r="D1813" s="2" t="inlineStr">
        <is>
          <t>МФУ Ricoh Pro C5300S цифровое полноцветное </t>
        </is>
      </c>
      <c r="E1813" s="2">
        <v>5</v>
      </c>
      <c r="F1813" s="2">
        <v>5</v>
      </c>
      <c r="H1813" s="2">
        <v>35034</v>
      </c>
      <c r="I1813" s="2" t="inlineStr">
        <is>
          <t>$</t>
        </is>
      </c>
      <c r="J1813" s="2">
        <f>HYPERLINK("https://app.astro.lead-studio.pro/product/87ef7891-6f19-4c94-949e-9b029fbcd78f")</f>
      </c>
    </row>
    <row r="1814" spans="1:10" customHeight="0">
      <c r="A1814" s="2" t="inlineStr">
        <is>
          <t>МФУ</t>
        </is>
      </c>
      <c r="B1814" s="2" t="inlineStr">
        <is>
          <t>Ricoh</t>
        </is>
      </c>
      <c r="C1814" s="2" t="inlineStr">
        <is>
          <t>409394 ( комплект)</t>
        </is>
      </c>
      <c r="D1814" s="2" t="inlineStr">
        <is>
          <t>Ricoh Pro C5300S A3, МФУ, лазерное, цветное, 35стр/мин, 1200 x 4800dpi,16384Мб, 2180Гб, USB/Ethernet,(409394)
409404 Наклейка с названием бренда тип S13 для Ricoh - 1 шт
950812 Руководство пользователя для Ricoh - 1 шт
418184 Ricoh выходной лоток Copy Tray Type M26 - 1 шт</t>
        </is>
      </c>
      <c r="E1814" s="2">
        <v>9</v>
      </c>
      <c r="F1814" s="2">
        <v>9</v>
      </c>
      <c r="H1814" s="2">
        <v>37365</v>
      </c>
      <c r="I1814" s="2" t="inlineStr">
        <is>
          <t>$</t>
        </is>
      </c>
      <c r="J1814" s="2">
        <f>HYPERLINK("https://app.astro.lead-studio.pro/product/10fa28ca-b5b2-4e01-90eb-547a348eb65f")</f>
      </c>
    </row>
    <row r="1815" spans="1:10" customHeight="0">
      <c r="A1815" s="2" t="inlineStr">
        <is>
          <t>МФУ</t>
        </is>
      </c>
      <c r="B1815" s="2" t="inlineStr">
        <is>
          <t>Ricoh</t>
        </is>
      </c>
      <c r="C1815" s="2" t="inlineStr">
        <is>
          <t>409504(комплект)</t>
        </is>
      </c>
      <c r="D1815" s="2" t="inlineStr">
        <is>
          <t>Полноцветная печатная машина Pro C7500 (комплект)  (9P03997) - 1 шт, (9P27449) - 1шт, (409213) - 1 шт, (409510) - 1 шт,  (409095) - 1 шт, (404877) - 1 шт, (409251) - 1 шт, (409567) - 1 шт, (409514) - 1 шт, (828651) - 1 шт, (828652) - 1 шт, (828653) - 1 шт, (828654) - 1 шт</t>
        </is>
      </c>
      <c r="E1815" s="2">
        <v>1</v>
      </c>
      <c r="F1815" s="2">
        <v>1</v>
      </c>
      <c r="H1815" s="2">
        <v>164886</v>
      </c>
      <c r="I1815" s="2" t="inlineStr">
        <is>
          <t>$</t>
        </is>
      </c>
      <c r="J1815" s="2">
        <f>HYPERLINK("https://app.astro.lead-studio.pro/product/485de5c4-992f-44ec-9d1d-d5e2cb46294e")</f>
      </c>
    </row>
    <row r="1816" spans="1:10" customHeight="0">
      <c r="A1816" s="2" t="inlineStr">
        <is>
          <t>МФУ</t>
        </is>
      </c>
      <c r="B1816" s="2" t="inlineStr">
        <is>
          <t>Ricoh</t>
        </is>
      </c>
      <c r="C1816" s="2" t="inlineStr">
        <is>
          <t>417284</t>
        </is>
      </c>
      <c r="D1816" s="2" t="inlineStr">
        <is>
          <t>МФУ Широкоформатное Ricoh MP W7100SP </t>
        </is>
      </c>
      <c r="E1816" s="2">
        <v>1</v>
      </c>
      <c r="F1816" s="2">
        <v>1</v>
      </c>
      <c r="H1816" s="2">
        <v>28637</v>
      </c>
      <c r="I1816" s="2" t="inlineStr">
        <is>
          <t>$</t>
        </is>
      </c>
      <c r="J1816" s="2">
        <f>HYPERLINK("https://app.astro.lead-studio.pro/product/e59cceda-6684-4c2a-9b68-531e3941ec02")</f>
      </c>
    </row>
    <row r="1817" spans="1:10" customHeight="0">
      <c r="A1817" s="2" t="inlineStr">
        <is>
          <t>МФУ</t>
        </is>
      </c>
      <c r="B1817" s="2" t="inlineStr">
        <is>
          <t>Ricoh</t>
        </is>
      </c>
      <c r="C1817" s="2" t="inlineStr">
        <is>
          <t>417290</t>
        </is>
      </c>
      <c r="D1817" s="2" t="inlineStr">
        <is>
          <t>МФУ Ricoh МФУ широкоформатное MP W6700SP </t>
        </is>
      </c>
      <c r="E1817" s="2">
        <v>1</v>
      </c>
      <c r="F1817" s="2">
        <v>1</v>
      </c>
      <c r="H1817" s="2">
        <v>22066</v>
      </c>
      <c r="I1817" s="2" t="inlineStr">
        <is>
          <t>$</t>
        </is>
      </c>
      <c r="J1817" s="2">
        <f>HYPERLINK("https://app.astro.lead-studio.pro/product/601ca09e-3f55-42ef-92ac-1d17a078d555")</f>
      </c>
    </row>
    <row r="1818" spans="1:10" customHeight="0">
      <c r="A1818" s="2" t="inlineStr">
        <is>
          <t>МФУ</t>
        </is>
      </c>
      <c r="B1818" s="2" t="inlineStr">
        <is>
          <t>Ricoh</t>
        </is>
      </c>
      <c r="C1818" s="2" t="inlineStr">
        <is>
          <t>418146</t>
        </is>
      </c>
      <c r="D1818" s="2" t="inlineStr">
        <is>
          <t>МФУ Ricoh M 2702 (A3, 27 стр/мин,копир/принтер/цв.сканер/ сеть/дуплекс/автоподатчик/девелопер/тонер) </t>
        </is>
      </c>
      <c r="E1818" s="2">
        <v>12</v>
      </c>
      <c r="F1818" s="2">
        <v>12</v>
      </c>
      <c r="H1818" s="2">
        <v>1053</v>
      </c>
      <c r="I1818" s="2" t="inlineStr">
        <is>
          <t>$</t>
        </is>
      </c>
      <c r="J1818" s="2">
        <f>HYPERLINK("https://app.astro.lead-studio.pro/product/5e3ed211-416e-4435-92b5-e2d8a91c870b")</f>
      </c>
    </row>
    <row r="1819" spans="1:10" customHeight="0">
      <c r="A1819" s="2" t="inlineStr">
        <is>
          <t>МФУ</t>
        </is>
      </c>
      <c r="B1819" s="2" t="inlineStr">
        <is>
          <t>Ricoh</t>
        </is>
      </c>
      <c r="C1819" s="2" t="inlineStr">
        <is>
          <t>418325</t>
        </is>
      </c>
      <c r="D1819" s="2" t="inlineStr">
        <is>
          <t>МФУ Ricoh IM C6000 цветное лазерное А3 60 стр./мин., копир, принтер, сканер, однопроходный автоподатчик, дуплекс, запуск АСЦ)</t>
        </is>
      </c>
      <c r="E1819" s="2">
        <v>1</v>
      </c>
      <c r="F1819" s="2">
        <v>1</v>
      </c>
      <c r="H1819" s="2">
        <v>9601</v>
      </c>
      <c r="I1819" s="2" t="inlineStr">
        <is>
          <t>$</t>
        </is>
      </c>
      <c r="J1819" s="2">
        <f>HYPERLINK("https://app.astro.lead-studio.pro/product/1571390a-d614-455f-9dad-3fa1f1279e17")</f>
      </c>
    </row>
    <row r="1820" spans="1:10" customHeight="0">
      <c r="A1820" s="2" t="inlineStr">
        <is>
          <t>МФУ</t>
        </is>
      </c>
      <c r="B1820" s="2" t="inlineStr">
        <is>
          <t>Ricoh</t>
        </is>
      </c>
      <c r="C1820" s="2" t="inlineStr">
        <is>
          <t>418459</t>
        </is>
      </c>
      <c r="D1820" s="2" t="inlineStr">
        <is>
          <t>Ricoh IM 550F (МФУ лазерное, А4, 55 стр./мин, факс, 2 GB, 320 GB, 1.3 GHz,  автоподатчик, дуплекс) (418459)</t>
        </is>
      </c>
      <c r="E1820" s="2">
        <v>59</v>
      </c>
      <c r="F1820" s="2">
        <v>59</v>
      </c>
      <c r="H1820" s="2">
        <v>2645</v>
      </c>
      <c r="I1820" s="2" t="inlineStr">
        <is>
          <t>$</t>
        </is>
      </c>
      <c r="J1820" s="2">
        <f>HYPERLINK("https://app.astro.lead-studio.pro/product/21ed5165-8c38-4d01-af15-d8a829530533")</f>
      </c>
    </row>
    <row r="1821" spans="1:10" customHeight="0">
      <c r="A1821" s="2" t="inlineStr">
        <is>
          <t>МФУ</t>
        </is>
      </c>
      <c r="B1821" s="2" t="inlineStr">
        <is>
          <t>Ricoh</t>
        </is>
      </c>
      <c r="C1821" s="2" t="inlineStr">
        <is>
          <t>418559</t>
        </is>
      </c>
      <c r="D1821" s="2" t="inlineStr">
        <is>
          <t>МФУ Цветное Ricoh IM C300 (А4, 30 стр./мин.,копир, принтер, сканер,однопроходный автоподатчик,дуплекс)</t>
        </is>
      </c>
      <c r="E1821" s="2">
        <v>3</v>
      </c>
      <c r="F1821" s="2">
        <v>3</v>
      </c>
      <c r="H1821" s="2">
        <v>2087</v>
      </c>
      <c r="I1821" s="2" t="inlineStr">
        <is>
          <t>$</t>
        </is>
      </c>
      <c r="J1821" s="2">
        <f>HYPERLINK("https://app.astro.lead-studio.pro/product/866cb57d-8141-497c-8f3d-3c911eda62b2")</f>
      </c>
    </row>
    <row r="1822" spans="1:10" customHeight="0">
      <c r="A1822" s="2" t="inlineStr">
        <is>
          <t>МФУ</t>
        </is>
      </c>
      <c r="B1822" s="2" t="inlineStr">
        <is>
          <t>Ricoh</t>
        </is>
      </c>
      <c r="C1822" s="2" t="inlineStr">
        <is>
          <t>418832</t>
        </is>
      </c>
      <c r="D1822" s="2" t="inlineStr">
        <is>
          <t>Цифровое МФУ Ricoh IM 2500 A3, 25 стр/мин,принтер/цв.сканер/ копир/девелопер/автоподатчик/ARDF/дуплекс,б/тонера</t>
        </is>
      </c>
      <c r="E1822" s="2">
        <v>13</v>
      </c>
      <c r="F1822" s="2">
        <v>13</v>
      </c>
      <c r="H1822" s="2">
        <v>3332</v>
      </c>
      <c r="I1822" s="2" t="inlineStr">
        <is>
          <t>$</t>
        </is>
      </c>
      <c r="J1822" s="2">
        <f>HYPERLINK("https://app.astro.lead-studio.pro/product/5b9d9f1c-52ce-4da3-a77c-0d2b61a73688")</f>
      </c>
    </row>
    <row r="1823" spans="1:10" customHeight="0">
      <c r="A1823" s="2" t="inlineStr">
        <is>
          <t>МФУ</t>
        </is>
      </c>
      <c r="B1823" s="2" t="inlineStr">
        <is>
          <t>Ricoh</t>
        </is>
      </c>
      <c r="C1823" s="2" t="inlineStr">
        <is>
          <t>418834</t>
        </is>
      </c>
      <c r="D1823" s="2" t="inlineStr">
        <is>
          <t>Цифровое МФУ Ricoh IM 3000 A3, 30 стр/мин,принтер/цв.сканер/ копир/девелопер/автоподатчик/ARDF/дуплекс,б/тонера</t>
        </is>
      </c>
      <c r="E1823" s="2">
        <v>15</v>
      </c>
      <c r="F1823" s="2">
        <v>15</v>
      </c>
      <c r="H1823" s="2">
        <v>4152</v>
      </c>
      <c r="I1823" s="2" t="inlineStr">
        <is>
          <t>$</t>
        </is>
      </c>
      <c r="J1823" s="2">
        <f>HYPERLINK("https://app.astro.lead-studio.pro/product/a4ef6156-3ea5-44c3-b93c-367e0fe98435")</f>
      </c>
    </row>
    <row r="1824" spans="1:10" customHeight="0">
      <c r="A1824" s="2" t="inlineStr">
        <is>
          <t>МФУ</t>
        </is>
      </c>
      <c r="B1824" s="2" t="inlineStr">
        <is>
          <t>Ricoh</t>
        </is>
      </c>
      <c r="C1824" s="2" t="inlineStr">
        <is>
          <t>418836</t>
        </is>
      </c>
      <c r="D1824" s="2" t="inlineStr">
        <is>
          <t>Цифровое МФУ Ricoh IM 3500 </t>
        </is>
      </c>
      <c r="E1824" s="2">
        <v>7</v>
      </c>
      <c r="F1824" s="2">
        <v>7</v>
      </c>
      <c r="H1824" s="2">
        <v>4292</v>
      </c>
      <c r="I1824" s="2" t="inlineStr">
        <is>
          <t>$</t>
        </is>
      </c>
      <c r="J1824" s="2">
        <f>HYPERLINK("https://app.astro.lead-studio.pro/product/09c2b22c-0036-4b96-bbe8-5a5007f81ece")</f>
      </c>
    </row>
    <row r="1825" spans="1:10" customHeight="0">
      <c r="A1825" s="2" t="inlineStr">
        <is>
          <t>МФУ</t>
        </is>
      </c>
      <c r="B1825" s="2" t="inlineStr">
        <is>
          <t>Ricoh</t>
        </is>
      </c>
      <c r="C1825" s="2" t="inlineStr">
        <is>
          <t>418839</t>
        </is>
      </c>
      <c r="D1825" s="2" t="inlineStr">
        <is>
          <t>Цифровое МФУ Ricoh IM 4000A</t>
        </is>
      </c>
      <c r="E1825" s="2">
        <v>4</v>
      </c>
      <c r="F1825" s="2">
        <v>4</v>
      </c>
      <c r="H1825" s="2">
        <v>5513</v>
      </c>
      <c r="I1825" s="2" t="inlineStr">
        <is>
          <t>$</t>
        </is>
      </c>
      <c r="J1825" s="2">
        <f>HYPERLINK("https://app.astro.lead-studio.pro/product/1980df7d-1e24-4cbd-9544-eff7e4d91773")</f>
      </c>
    </row>
    <row r="1826" spans="1:10" customHeight="0">
      <c r="A1826" s="2" t="inlineStr">
        <is>
          <t>МФУ</t>
        </is>
      </c>
      <c r="B1826" s="2" t="inlineStr">
        <is>
          <t>Ricoh</t>
        </is>
      </c>
      <c r="C1826" s="2" t="inlineStr">
        <is>
          <t>418968</t>
        </is>
      </c>
      <c r="D1826" s="2" t="inlineStr">
        <is>
          <t>МФУ Ricoh Цветное лазерное M C2000 (А3,20 стр/мин копир,сетевой принтер/цв.скан,ARDF,дуплекс,девелопер, запуск АСЦ)</t>
        </is>
      </c>
      <c r="E1826" s="2">
        <v>4</v>
      </c>
      <c r="F1826" s="2">
        <v>4</v>
      </c>
      <c r="H1826" s="2">
        <v>1570</v>
      </c>
      <c r="I1826" s="2" t="inlineStr">
        <is>
          <t>$</t>
        </is>
      </c>
      <c r="J1826" s="2">
        <f>HYPERLINK("https://app.astro.lead-studio.pro/product/ef5adb67-4689-444a-b58e-938be1565d1d")</f>
      </c>
    </row>
    <row r="1827" spans="1:10" customHeight="0">
      <c r="A1827" s="2" t="inlineStr">
        <is>
          <t>МФУ</t>
        </is>
      </c>
      <c r="B1827" s="2" t="inlineStr">
        <is>
          <t>Ricoh</t>
        </is>
      </c>
      <c r="C1827" s="2" t="inlineStr">
        <is>
          <t>419308</t>
        </is>
      </c>
      <c r="D1827" s="2" t="inlineStr">
        <is>
          <t>МФУ Ricoh IM C3010 МФУ цветное лазерное, A3, 30 стр/мин, автоподатчик/дуплекс/девелопер,PostScript, ,без/тонера, запуск АСЦ</t>
        </is>
      </c>
      <c r="E1827" s="2">
        <v>19</v>
      </c>
      <c r="F1827" s="2">
        <v>19</v>
      </c>
      <c r="H1827" s="2">
        <v>4447</v>
      </c>
      <c r="I1827" s="2" t="inlineStr">
        <is>
          <t>$</t>
        </is>
      </c>
      <c r="J1827" s="2">
        <f>HYPERLINK("https://app.astro.lead-studio.pro/product/57aa1306-b9f5-41ac-982a-ef24bd469860")</f>
      </c>
    </row>
    <row r="1828" spans="1:10" customHeight="0">
      <c r="A1828" s="2" t="inlineStr">
        <is>
          <t>МФУ</t>
        </is>
      </c>
      <c r="B1828" s="2" t="inlineStr">
        <is>
          <t>Ricoh</t>
        </is>
      </c>
      <c r="C1828" s="2" t="inlineStr">
        <is>
          <t>419317</t>
        </is>
      </c>
      <c r="D1828" s="2" t="inlineStr">
        <is>
          <t>МФУ лазерное  А3 Ricoh IMC3510 </t>
        </is>
      </c>
      <c r="E1828" s="2">
        <v>5</v>
      </c>
      <c r="F1828" s="2">
        <v>5</v>
      </c>
      <c r="H1828" s="2">
        <v>5946</v>
      </c>
      <c r="I1828" s="2" t="inlineStr">
        <is>
          <t>$</t>
        </is>
      </c>
      <c r="J1828" s="2">
        <f>HYPERLINK("https://app.astro.lead-studio.pro/product/995ff43c-d368-41e4-992e-b36459f470c6")</f>
      </c>
    </row>
    <row r="1829" spans="1:10" customHeight="0">
      <c r="A1829" s="2" t="inlineStr">
        <is>
          <t>МФУ</t>
        </is>
      </c>
      <c r="B1829" s="2" t="inlineStr">
        <is>
          <t>Ricoh</t>
        </is>
      </c>
      <c r="C1829" s="2" t="inlineStr">
        <is>
          <t>419326</t>
        </is>
      </c>
      <c r="D1829" s="2" t="inlineStr">
        <is>
          <t>МФУ Ricoh IM C4510 </t>
        </is>
      </c>
      <c r="E1829" s="2">
        <v>10</v>
      </c>
      <c r="F1829" s="2">
        <v>10</v>
      </c>
      <c r="H1829" s="2">
        <v>6190</v>
      </c>
      <c r="I1829" s="2" t="inlineStr">
        <is>
          <t>$</t>
        </is>
      </c>
      <c r="J1829" s="2">
        <f>HYPERLINK("https://app.astro.lead-studio.pro/product/b7c88d8a-b4b8-4c72-96c5-f219ed7ac4d6")</f>
      </c>
    </row>
    <row r="1830" spans="1:10" customHeight="0">
      <c r="A1830" s="2" t="inlineStr">
        <is>
          <t>МФУ</t>
        </is>
      </c>
      <c r="B1830" s="2" t="inlineStr">
        <is>
          <t>Ricoh</t>
        </is>
      </c>
      <c r="C1830" s="2" t="inlineStr">
        <is>
          <t>419345</t>
        </is>
      </c>
      <c r="D1830" s="2" t="inlineStr">
        <is>
          <t>МФУ лазерное цветное Ricoh IM C2010</t>
        </is>
      </c>
      <c r="E1830" s="2">
        <v>8</v>
      </c>
      <c r="F1830" s="2">
        <v>8</v>
      </c>
      <c r="H1830" s="2">
        <v>2835</v>
      </c>
      <c r="I1830" s="2" t="inlineStr">
        <is>
          <t>$</t>
        </is>
      </c>
      <c r="J1830" s="2">
        <f>HYPERLINK("https://app.astro.lead-studio.pro/product/2f8908c3-9156-4bbc-ab74-4f1d8ca3060c")</f>
      </c>
    </row>
    <row r="1831" spans="1:10" customHeight="0">
      <c r="A1831" s="2" t="inlineStr">
        <is>
          <t>МФУ</t>
        </is>
      </c>
      <c r="B1831" s="2" t="inlineStr">
        <is>
          <t>Ricoh</t>
        </is>
      </c>
      <c r="C1831" s="2" t="inlineStr">
        <is>
          <t>419355</t>
        </is>
      </c>
      <c r="D1831" s="2" t="inlineStr">
        <is>
          <t>МФУ Ricoh IM C2510 (цветное, лазерное, A3, 25 стр/мин, автоподатчик/дуплекс/девелопер, PostScript, без/тонера, запуск АСЦ) 419355</t>
        </is>
      </c>
      <c r="E1831" s="2">
        <v>68</v>
      </c>
      <c r="F1831" s="2">
        <v>68</v>
      </c>
      <c r="H1831" s="2">
        <v>3506</v>
      </c>
      <c r="I1831" s="2" t="inlineStr">
        <is>
          <t>$</t>
        </is>
      </c>
      <c r="J1831" s="2">
        <f>HYPERLINK("https://app.astro.lead-studio.pro/product/6cc0eace-3220-4aa0-a081-3f450f845c2c")</f>
      </c>
    </row>
    <row r="1832" spans="1:10" customHeight="0">
      <c r="A1832" s="2" t="inlineStr">
        <is>
          <t>МФУ</t>
        </is>
      </c>
      <c r="B1832" s="2" t="inlineStr">
        <is>
          <t>Ricoh</t>
        </is>
      </c>
      <c r="C1832" s="2" t="inlineStr">
        <is>
          <t>423502</t>
        </is>
      </c>
      <c r="D1832" s="2" t="inlineStr">
        <is>
          <t>МФУ Ricoh IM 370 (замена 418487 IM 350)</t>
        </is>
      </c>
      <c r="E1832" s="2">
        <v>11</v>
      </c>
      <c r="F1832" s="2">
        <v>11</v>
      </c>
      <c r="H1832" s="2">
        <v>1518</v>
      </c>
      <c r="I1832" s="2" t="inlineStr">
        <is>
          <t>$</t>
        </is>
      </c>
      <c r="J1832" s="2">
        <f>HYPERLINK("https://app.astro.lead-studio.pro/product/cb893d7b-bdf9-4872-a4a1-b4ad2217d835")</f>
      </c>
    </row>
    <row r="1833" spans="1:10" customHeight="0">
      <c r="A1833" s="2" t="inlineStr">
        <is>
          <t>МФУ</t>
        </is>
      </c>
      <c r="B1833" s="2" t="inlineStr">
        <is>
          <t>OKI</t>
        </is>
      </c>
      <c r="C1833" s="2" t="inlineStr">
        <is>
          <t>45850304</t>
        </is>
      </c>
      <c r="D1833" s="2" t="inlineStr">
        <is>
          <t>МФУ OKI OKI MC883dn  цветное; A4/A3 - 35/20; АПД на 100 листов; Факс; Степлер; API-платформа; Дуплекс; Лоток </t>
        </is>
      </c>
      <c r="E1833" s="2">
        <v>2</v>
      </c>
      <c r="F1833" s="2">
        <v>2</v>
      </c>
      <c r="H1833" s="2">
        <v>2435</v>
      </c>
      <c r="I1833" s="2" t="inlineStr">
        <is>
          <t>$</t>
        </is>
      </c>
      <c r="J1833" s="2">
        <f>HYPERLINK("https://app.astro.lead-studio.pro/product/babf231f-b828-4551-97b6-3ae3eaeeb765")</f>
      </c>
    </row>
    <row r="1834" spans="1:10" customHeight="0">
      <c r="A1834" s="2" t="inlineStr">
        <is>
          <t>МФУ</t>
        </is>
      </c>
      <c r="B1834" s="2" t="inlineStr">
        <is>
          <t>Canon</t>
        </is>
      </c>
      <c r="C1834" s="2" t="inlineStr">
        <is>
          <t>5160C023</t>
        </is>
      </c>
      <c r="D1834" s="2" t="inlineStr">
        <is>
          <t>МФУ Canon i-SENSYS MF553dw  (стартовый картридж в комплекте) </t>
        </is>
      </c>
      <c r="E1834" s="2">
        <v>100</v>
      </c>
      <c r="F1834" s="2">
        <v>100</v>
      </c>
      <c r="H1834" s="2">
        <v>769</v>
      </c>
      <c r="I1834" s="2" t="inlineStr">
        <is>
          <t>$</t>
        </is>
      </c>
      <c r="J1834" s="2">
        <f>HYPERLINK("https://app.astro.lead-studio.pro/product/58d387be-e161-46fe-ae35-18a8acdf9441")</f>
      </c>
    </row>
    <row r="1835" spans="1:10" customHeight="0">
      <c r="A1835" s="2" t="inlineStr">
        <is>
          <t>МФУ</t>
        </is>
      </c>
      <c r="B1835" s="2" t="inlineStr">
        <is>
          <t>Canon</t>
        </is>
      </c>
      <c r="C1835" s="2" t="inlineStr">
        <is>
          <t>5161C007(BA)</t>
        </is>
      </c>
      <c r="D1835" s="2" t="inlineStr">
        <is>
          <t>МФУ Canon i-Sensys MF453dw (5161C007) (лазерное P/S/C, А4, 40стр./мин., 600x600, 1024Мб, Wi-Fi,USB , дуплекс)</t>
        </is>
      </c>
      <c r="E1835" s="2">
        <v>44</v>
      </c>
      <c r="F1835" s="2">
        <v>44</v>
      </c>
      <c r="H1835" s="2">
        <v>476</v>
      </c>
      <c r="I1835" s="2" t="inlineStr">
        <is>
          <t>$</t>
        </is>
      </c>
      <c r="J1835" s="2">
        <f>HYPERLINK("https://app.astro.lead-studio.pro/product/7cfb8af3-2f6c-41b6-ba5e-2ff6939be432")</f>
      </c>
    </row>
    <row r="1836" spans="1:10" customHeight="0">
      <c r="A1836" s="2" t="inlineStr">
        <is>
          <t>МФУ</t>
        </is>
      </c>
      <c r="B1836" s="2" t="inlineStr">
        <is>
          <t>Canon</t>
        </is>
      </c>
      <c r="C1836" s="2" t="inlineStr">
        <is>
          <t>5621C001</t>
        </is>
      </c>
      <c r="D1836" s="2" t="inlineStr">
        <is>
          <t>Canon i-SENSYS MF275DW (A4,Printer/Scanner/Copier/FAX/Duplex, 2400x600 dpi, Mono, 29 ppm, 256 Mb, 1200 Mhz , tray 150 pages, LCD (5 строк), USB 2.0, RJ-45,)  </t>
        </is>
      </c>
      <c r="E1836" s="2">
        <v>1</v>
      </c>
      <c r="F1836" s="2">
        <v>1</v>
      </c>
      <c r="H1836" s="2">
        <v>330</v>
      </c>
      <c r="I1836" s="2" t="inlineStr">
        <is>
          <t>$</t>
        </is>
      </c>
      <c r="J1836" s="2">
        <f>HYPERLINK("https://app.astro.lead-studio.pro/product/7cd188df-eb8c-427b-a1ce-167838fc333e")</f>
      </c>
    </row>
    <row r="1837" spans="1:10" customHeight="0">
      <c r="A1837" s="2" t="inlineStr">
        <is>
          <t>МФУ</t>
        </is>
      </c>
      <c r="B1837" s="2" t="inlineStr">
        <is>
          <t>Canon</t>
        </is>
      </c>
      <c r="C1837" s="2" t="inlineStr">
        <is>
          <t>5938C017</t>
        </is>
      </c>
      <c r="D1837" s="2" t="inlineStr">
        <is>
          <t>МФУ Canon i-Sensys MF264dw (МФУ лазерное P/S/C, A4, 1200dpi, 28ppm, 256Mb, ADF35, Duplex, WiFi, Lan, USB), (114539)</t>
        </is>
      </c>
      <c r="E1837" s="2">
        <v>13</v>
      </c>
      <c r="F1837" s="2">
        <v>13</v>
      </c>
      <c r="H1837" s="2">
        <v>385</v>
      </c>
      <c r="I1837" s="2" t="inlineStr">
        <is>
          <t>$</t>
        </is>
      </c>
      <c r="J1837" s="2">
        <f>HYPERLINK("https://app.astro.lead-studio.pro/product/39d3c5c8-29b2-4f9f-878c-11de703a9b3e")</f>
      </c>
    </row>
    <row r="1838" spans="1:10" customHeight="0">
      <c r="A1838" s="2" t="inlineStr">
        <is>
          <t>МФУ</t>
        </is>
      </c>
      <c r="B1838" s="2" t="inlineStr">
        <is>
          <t>Canon</t>
        </is>
      </c>
      <c r="C1838" s="2" t="inlineStr">
        <is>
          <t>5951C008(BA)</t>
        </is>
      </c>
      <c r="D1838" s="2" t="inlineStr">
        <is>
          <t>МФУ Canon i-Sensys MF463dw (5951C008)(лазерный, А4, 40стр./мин., 600x600, 1024Мб, Wi-Fi,USB, дуплекс </t>
        </is>
      </c>
      <c r="E1838" s="2">
        <v>50</v>
      </c>
      <c r="F1838" s="2">
        <v>50</v>
      </c>
      <c r="H1838" s="2">
        <v>476</v>
      </c>
      <c r="I1838" s="2" t="inlineStr">
        <is>
          <t>$</t>
        </is>
      </c>
      <c r="J1838" s="2">
        <f>HYPERLINK("https://app.astro.lead-studio.pro/product/5bd31868-0b35-4fa9-bd2e-2cb4ca3ab571")</f>
      </c>
    </row>
    <row r="1839" spans="1:10" customHeight="0">
      <c r="A1839" s="2" t="inlineStr">
        <is>
          <t>МФУ</t>
        </is>
      </c>
      <c r="B1839" s="2" t="inlineStr">
        <is>
          <t>Canon</t>
        </is>
      </c>
      <c r="C1839" s="2" t="inlineStr">
        <is>
          <t>5965C005</t>
        </is>
      </c>
      <c r="D1839" s="2" t="inlineStr">
        <is>
          <t>Canon imageRUNNER C3326i MFP BL (МФУ лазерное цветное А3, 26 стр/мин, 2048 Mb, 1200х1200 dpi, duplex</t>
        </is>
      </c>
      <c r="E1839" s="2">
        <v>46</v>
      </c>
      <c r="F1839" s="2">
        <v>46</v>
      </c>
      <c r="H1839" s="2">
        <v>2116</v>
      </c>
      <c r="I1839" s="2" t="inlineStr">
        <is>
          <t>$</t>
        </is>
      </c>
      <c r="J1839" s="2">
        <f>HYPERLINK("https://app.astro.lead-studio.pro/product/83fccb0c-43b0-4b89-9b6c-5eb67b686489")</f>
      </c>
    </row>
    <row r="1840" spans="1:10" customHeight="0">
      <c r="A1840" s="2" t="inlineStr">
        <is>
          <t>МФУ</t>
        </is>
      </c>
      <c r="B1840" s="2" t="inlineStr">
        <is>
          <t>HP</t>
        </is>
      </c>
      <c r="C1840" s="2" t="inlineStr">
        <is>
          <t>5HH65A#B19</t>
        </is>
      </c>
      <c r="D1840" s="2" t="inlineStr">
        <is>
          <t>HP Color LaserJet Pro 4303DW (МФУ лазерное цветное, A4, 600dpi, 33ppm, 512Mb, 1200МГц, ADF50, 250+50,  WIFI, USB)</t>
        </is>
      </c>
      <c r="E1840" s="2">
        <v>27</v>
      </c>
      <c r="F1840" s="2">
        <v>27</v>
      </c>
      <c r="H1840" s="2">
        <v>621</v>
      </c>
      <c r="I1840" s="2" t="inlineStr">
        <is>
          <t>$</t>
        </is>
      </c>
      <c r="J1840" s="2">
        <f>HYPERLINK("https://app.astro.lead-studio.pro/product/5cd75474-14e0-468c-944a-43f7b1625d31")</f>
      </c>
    </row>
    <row r="1841" spans="1:10" customHeight="0">
      <c r="A1841" s="2" t="inlineStr">
        <is>
          <t>МФУ</t>
        </is>
      </c>
      <c r="B1841" s="2" t="inlineStr">
        <is>
          <t>HP</t>
        </is>
      </c>
      <c r="C1841" s="2" t="inlineStr">
        <is>
          <t>5HH66A#B19</t>
        </is>
      </c>
      <c r="D1841" s="2" t="inlineStr">
        <is>
          <t>HP Color LaserJet Pro 4303FDN (МФУ  факс лазерное цветное, A4, 600dpi, 33ppm, 512Mb, 1200МГц, ADF50, 250+50,  Ethernet, USB)</t>
        </is>
      </c>
      <c r="E1841" s="2">
        <v>46</v>
      </c>
      <c r="F1841" s="2">
        <v>46</v>
      </c>
      <c r="H1841" s="2">
        <v>714</v>
      </c>
      <c r="I1841" s="2" t="inlineStr">
        <is>
          <t>$</t>
        </is>
      </c>
      <c r="J1841" s="2">
        <f>HYPERLINK("https://app.astro.lead-studio.pro/product/c9571f3a-4e0e-4690-a45d-586d76b1549f")</f>
      </c>
    </row>
    <row r="1842" spans="1:10" customHeight="0">
      <c r="A1842" s="2" t="inlineStr">
        <is>
          <t>МФУ</t>
        </is>
      </c>
      <c r="B1842" s="2" t="inlineStr">
        <is>
          <t>HP</t>
        </is>
      </c>
      <c r="C1842" s="2" t="inlineStr">
        <is>
          <t>8AF43A</t>
        </is>
      </c>
      <c r="D1842" s="2" t="inlineStr">
        <is>
          <t>МФУ HP LaserJet MFP M438n (лазерное, p/c/s, A3, 1200dpi, 22ppm, 256Mb, 2trays 100+250, USB/Eth) (129908)</t>
        </is>
      </c>
      <c r="E1842" s="2">
        <v>25</v>
      </c>
      <c r="F1842" s="2">
        <v>25</v>
      </c>
      <c r="H1842" s="2">
        <v>616</v>
      </c>
      <c r="I1842" s="2" t="inlineStr">
        <is>
          <t>$</t>
        </is>
      </c>
      <c r="J1842" s="2">
        <f>HYPERLINK("https://app.astro.lead-studio.pro/product/694f2133-187c-4a69-a21f-7c3549406205")</f>
      </c>
    </row>
    <row r="1843" spans="1:10" customHeight="0">
      <c r="A1843" s="2" t="inlineStr">
        <is>
          <t>МФУ</t>
        </is>
      </c>
      <c r="B1843" s="2" t="inlineStr">
        <is>
          <t>Xerox</t>
        </is>
      </c>
      <c r="C1843" s="2" t="inlineStr">
        <is>
          <t>ALC8135_T</t>
        </is>
      </c>
      <c r="D1843" s="2" t="inlineStr">
        <is>
          <t>МФУ Xerox  AltaLink C8135   (МФУ лазерный цветной, А3, 35 стр/мин, Базовый модуль C8101V_T +)</t>
        </is>
      </c>
      <c r="E1843" s="2">
        <v>10</v>
      </c>
      <c r="F1843" s="2">
        <v>10</v>
      </c>
      <c r="H1843" s="2">
        <v>5840</v>
      </c>
      <c r="I1843" s="2" t="inlineStr">
        <is>
          <t>$</t>
        </is>
      </c>
      <c r="J1843" s="2">
        <f>HYPERLINK("https://app.astro.lead-studio.pro/product/cbe7fbe1-cce3-49fe-bedf-17361391461e")</f>
      </c>
    </row>
    <row r="1844" spans="1:10" customHeight="0">
      <c r="A1844" s="2" t="inlineStr">
        <is>
          <t>МФУ</t>
        </is>
      </c>
      <c r="B1844" s="2" t="inlineStr">
        <is>
          <t>Xerox</t>
        </is>
      </c>
      <c r="C1844" s="2" t="inlineStr">
        <is>
          <t>B415V_DN</t>
        </is>
      </c>
      <c r="D1844" s="2" t="inlineStr">
        <is>
          <t>МФУ Xerox VersaLink B415DN (B415V_DN) </t>
        </is>
      </c>
      <c r="E1844" s="2">
        <v>57</v>
      </c>
      <c r="F1844" s="2">
        <v>57</v>
      </c>
      <c r="H1844" s="2">
        <v>927</v>
      </c>
      <c r="I1844" s="2" t="inlineStr">
        <is>
          <t>$</t>
        </is>
      </c>
      <c r="J1844" s="2">
        <f>HYPERLINK("https://app.astro.lead-studio.pro/product/6691f382-b2a0-4df1-8430-a73fc2e2847e")</f>
      </c>
    </row>
    <row r="1845" spans="1:10" customHeight="0">
      <c r="A1845" s="2" t="inlineStr">
        <is>
          <t>МФУ</t>
        </is>
      </c>
      <c r="B1845" s="2" t="inlineStr">
        <is>
          <t>Xerox</t>
        </is>
      </c>
      <c r="C1845" s="2" t="inlineStr">
        <is>
          <t>B605V_S</t>
        </is>
      </c>
      <c r="D1845" s="2" t="inlineStr">
        <is>
          <t>МФУ Xerox VersaLink B605S (B605V_S) A4, МФУ, лазерное, черно-белое, 55стр/мин, 1200dpi, 1050МГц, 2048Мб, 250Гб, USB/Ethernet, (B605V_S)</t>
        </is>
      </c>
      <c r="E1845" s="2">
        <v>30</v>
      </c>
      <c r="F1845" s="2">
        <v>30</v>
      </c>
      <c r="H1845" s="2">
        <v>2153</v>
      </c>
      <c r="I1845" s="2" t="inlineStr">
        <is>
          <t>$</t>
        </is>
      </c>
      <c r="J1845" s="2">
        <f>HYPERLINK("https://app.astro.lead-studio.pro/product/5209b455-2141-4a36-99bf-79742ec640a9")</f>
      </c>
    </row>
    <row r="1846" spans="1:10" customHeight="0">
      <c r="A1846" s="2" t="inlineStr">
        <is>
          <t>МФУ</t>
        </is>
      </c>
      <c r="B1846" s="2" t="inlineStr">
        <is>
          <t>Xerox</t>
        </is>
      </c>
      <c r="C1846" s="2" t="inlineStr">
        <is>
          <t>B7101V_D</t>
        </is>
      </c>
      <c r="D1846" s="2" t="inlineStr">
        <is>
          <t>МФУ Xerox Базовый модуль, VersaLink B7125/B7130/B7135 (B7101V_D)</t>
        </is>
      </c>
      <c r="E1846" s="2">
        <v>22</v>
      </c>
      <c r="F1846" s="2">
        <v>22</v>
      </c>
      <c r="H1846" s="2">
        <v>1419</v>
      </c>
      <c r="I1846" s="2" t="inlineStr">
        <is>
          <t>$</t>
        </is>
      </c>
      <c r="J1846" s="2">
        <f>HYPERLINK("https://app.astro.lead-studio.pro/product/7e19a77b-4fba-4677-bdcb-81a0fac404db")</f>
      </c>
    </row>
    <row r="1847" spans="1:10" customHeight="0">
      <c r="A1847" s="2" t="inlineStr">
        <is>
          <t>МФУ</t>
        </is>
      </c>
      <c r="B1847" s="2" t="inlineStr">
        <is>
          <t>Xerox</t>
        </is>
      </c>
      <c r="C1847" s="2" t="inlineStr">
        <is>
          <t>B7135V_S</t>
        </is>
      </c>
      <c r="D1847" s="2" t="inlineStr">
        <is>
          <t>МФУ Xerox VersaLink B7135V_DN A3, МФУ, лазерное, черно-белое, (А4)35стр/мин,(А3)19стр/мин, 1200dpi, 1050МГц, 4096Мб, 320Гб, 130АПД, USB/Ethernet, (B7135V_DN) + ключ инициализации 097S05191</t>
        </is>
      </c>
      <c r="E1847" s="2">
        <v>50</v>
      </c>
      <c r="F1847" s="2">
        <v>50</v>
      </c>
      <c r="H1847" s="2">
        <v>2449</v>
      </c>
      <c r="I1847" s="2" t="inlineStr">
        <is>
          <t>$</t>
        </is>
      </c>
      <c r="J1847" s="2">
        <f>HYPERLINK("https://app.astro.lead-studio.pro/product/51ca3ddc-2d8e-406f-a808-056c3845dfdf")</f>
      </c>
    </row>
    <row r="1848" spans="1:10" customHeight="0">
      <c r="A1848" s="2" t="inlineStr">
        <is>
          <t>МФУ</t>
        </is>
      </c>
      <c r="B1848" s="2" t="inlineStr">
        <is>
          <t>Xerox</t>
        </is>
      </c>
      <c r="C1848" s="2" t="inlineStr">
        <is>
          <t>B7135V_T</t>
        </is>
      </c>
      <c r="D1848" s="2" t="inlineStr">
        <is>
          <t>Xerox VersaLink B7135 A3, МФУ, лазерное, черно-белое, 35стр/мин, 1200dpi, 1050МГц, 4096Мб, 320Гб, 130АПД,  520+100, NFC/AirPrint/USB/Ethernet, [B7101V_D], ключ активизации VersaLink B7135 [097S05191] , Жесткий диск 320Гб [497K23610]</t>
        </is>
      </c>
      <c r="E1848" s="2">
        <v>24</v>
      </c>
      <c r="F1848" s="2">
        <v>24</v>
      </c>
      <c r="H1848" s="2">
        <v>2752</v>
      </c>
      <c r="I1848" s="2" t="inlineStr">
        <is>
          <t>$</t>
        </is>
      </c>
      <c r="J1848" s="2">
        <f>HYPERLINK("https://app.astro.lead-studio.pro/product/34455624-176e-4b17-95dd-2e81d7ecc876")</f>
      </c>
    </row>
    <row r="1849" spans="1:10" customHeight="0">
      <c r="A1849" s="2" t="inlineStr">
        <is>
          <t>МФУ</t>
        </is>
      </c>
      <c r="B1849" s="2" t="inlineStr">
        <is>
          <t>Xerox</t>
        </is>
      </c>
      <c r="C1849" s="2" t="inlineStr">
        <is>
          <t>C415_DN</t>
        </is>
      </c>
      <c r="D1849" s="2" t="inlineStr">
        <is>
          <t>МФУ Xerox C415_DN МФУ лазерный цветной, 40 стр/мин, 1дуплекс, Ethernet, wi-Fi, 2048 Mb memory,PS3/PCL6, 125K стр/мес., 1.2GHz</t>
        </is>
      </c>
      <c r="E1849" s="2">
        <v>24</v>
      </c>
      <c r="F1849" s="2">
        <v>24</v>
      </c>
      <c r="H1849" s="2">
        <v>1169</v>
      </c>
      <c r="I1849" s="2" t="inlineStr">
        <is>
          <t>$</t>
        </is>
      </c>
      <c r="J1849" s="2">
        <f>HYPERLINK("https://app.astro.lead-studio.pro/product/c80c727d-fa57-4c6a-b453-d66ff21012e5")</f>
      </c>
    </row>
    <row r="1850" spans="1:10" customHeight="0">
      <c r="A1850" s="2" t="inlineStr">
        <is>
          <t>МФУ</t>
        </is>
      </c>
      <c r="B1850" s="2" t="inlineStr">
        <is>
          <t>Xerox</t>
        </is>
      </c>
      <c r="C1850" s="2" t="inlineStr">
        <is>
          <t>C7120V_DN</t>
        </is>
      </c>
      <c r="D1850" s="2" t="inlineStr">
        <is>
          <t>МФУ Xerox VersaLink C7120</t>
        </is>
      </c>
      <c r="E1850" s="2">
        <v>14</v>
      </c>
      <c r="F1850" s="2">
        <v>14</v>
      </c>
      <c r="H1850" s="2">
        <v>2222</v>
      </c>
      <c r="I1850" s="2" t="inlineStr">
        <is>
          <t>$</t>
        </is>
      </c>
      <c r="J1850" s="2">
        <f>HYPERLINK("https://app.astro.lead-studio.pro/product/bd0830f7-931a-4ec6-baa3-e4e26a4bb386")</f>
      </c>
    </row>
    <row r="1851" spans="1:10" customHeight="0">
      <c r="A1851" s="2" t="inlineStr">
        <is>
          <t>МФУ</t>
        </is>
      </c>
      <c r="B1851" s="2" t="inlineStr">
        <is>
          <t>Xerox</t>
        </is>
      </c>
      <c r="C1851" s="2" t="inlineStr">
        <is>
          <t>C7125V_DN</t>
        </is>
      </c>
      <c r="D1851" s="2" t="inlineStr">
        <is>
          <t>Xerox VersaLink C7125 (МФУ лазерный цветной, А3, 25 стр/мин, 1 лоток x 520л. + ключ инициализации)        </t>
        </is>
      </c>
      <c r="E1851" s="2">
        <v>19</v>
      </c>
      <c r="F1851" s="2">
        <v>19</v>
      </c>
      <c r="H1851" s="2">
        <v>2229</v>
      </c>
      <c r="I1851" s="2" t="inlineStr">
        <is>
          <t>$</t>
        </is>
      </c>
      <c r="J1851" s="2">
        <f>HYPERLINK("https://app.astro.lead-studio.pro/product/02829255-5aad-48e8-9999-8fae4323db09")</f>
      </c>
    </row>
    <row r="1852" spans="1:10" customHeight="0">
      <c r="A1852" s="2" t="inlineStr">
        <is>
          <t>МФУ</t>
        </is>
      </c>
      <c r="B1852" s="2" t="inlineStr">
        <is>
          <t>Xerox</t>
        </is>
      </c>
      <c r="C1852" s="2" t="inlineStr">
        <is>
          <t>C7125V_T</t>
        </is>
      </c>
      <c r="D1852" s="2" t="inlineStr">
        <is>
          <t>Xerox VersaLink C7120/C7125/C7130 (базовый блок) МФУ, А3, лазерный, цветная, (А4) 30 стр/мин, (А3) 17 стр/мин, 1200 x 2400 dpi, 1050МГц, 4096Мб, 320Гб, Duplex/NFC/Ethernet/USB, напольный,с трехлотковым модулем, входит ключ инициализации 097S05202</t>
        </is>
      </c>
      <c r="E1852" s="2">
        <v>2</v>
      </c>
      <c r="F1852" s="2">
        <v>2</v>
      </c>
      <c r="H1852" s="2">
        <v>3454</v>
      </c>
      <c r="I1852" s="2" t="inlineStr">
        <is>
          <t>$</t>
        </is>
      </c>
      <c r="J1852" s="2">
        <f>HYPERLINK("https://app.astro.lead-studio.pro/product/a6e79501-6558-4694-9c15-53d75151bbf2")</f>
      </c>
    </row>
    <row r="1853" spans="1:10" customHeight="0">
      <c r="A1853" s="2" t="inlineStr">
        <is>
          <t>МФУ</t>
        </is>
      </c>
      <c r="B1853" s="2" t="inlineStr">
        <is>
          <t>Xerox</t>
        </is>
      </c>
      <c r="C1853" s="2" t="inlineStr">
        <is>
          <t>C7130V_DN</t>
        </is>
      </c>
      <c r="D1853" s="2" t="inlineStr">
        <is>
          <t>Xerox VersaLink C7130  (МФУ лазерный цветной, А3, 30 стр/мин, 1 лоток x 520л. + ключ инициализации)</t>
        </is>
      </c>
      <c r="E1853" s="2">
        <v>27</v>
      </c>
      <c r="F1853" s="2">
        <v>27</v>
      </c>
      <c r="H1853" s="2">
        <v>2619</v>
      </c>
      <c r="I1853" s="2" t="inlineStr">
        <is>
          <t>$</t>
        </is>
      </c>
      <c r="J1853" s="2">
        <f>HYPERLINK("https://app.astro.lead-studio.pro/product/2f140fe5-84b3-499d-8998-b7f4b3706a10")</f>
      </c>
    </row>
    <row r="1854" spans="1:10" customHeight="0">
      <c r="A1854" s="2" t="inlineStr">
        <is>
          <t>МФУ</t>
        </is>
      </c>
      <c r="B1854" s="2" t="inlineStr">
        <is>
          <t>Xerox</t>
        </is>
      </c>
      <c r="C1854" s="2" t="inlineStr">
        <is>
          <t>C8155_T</t>
        </is>
      </c>
      <c r="D1854" s="2" t="inlineStr">
        <is>
          <t>Xerox  AltaLink C8155 (МФУ лазерный цветной, А3, 55 стр/мин, Базовый модуль C8102V_F+ 097S05045</t>
        </is>
      </c>
      <c r="E1854" s="2">
        <v>5</v>
      </c>
      <c r="F1854" s="2">
        <v>5</v>
      </c>
      <c r="H1854" s="2">
        <v>7358</v>
      </c>
      <c r="I1854" s="2" t="inlineStr">
        <is>
          <t>$</t>
        </is>
      </c>
      <c r="J1854" s="2">
        <f>HYPERLINK("https://app.astro.lead-studio.pro/product/e01e66ad-2bb1-435f-93a0-64bf5ff87a9c")</f>
      </c>
    </row>
    <row r="1855" spans="1:10" customHeight="0">
      <c r="A1855" s="2" t="inlineStr">
        <is>
          <t>МФУ</t>
        </is>
      </c>
      <c r="B1855" s="2" t="inlineStr">
        <is>
          <t>Xerox</t>
        </is>
      </c>
      <c r="C1855" s="2" t="inlineStr">
        <is>
          <t>C8170_T</t>
        </is>
      </c>
      <c r="D1855" s="2" t="inlineStr">
        <is>
          <t>МФУ AltaLink C8170</t>
        </is>
      </c>
      <c r="E1855" s="2">
        <v>3</v>
      </c>
      <c r="F1855" s="2">
        <v>3</v>
      </c>
      <c r="H1855" s="2">
        <v>9369</v>
      </c>
      <c r="I1855" s="2" t="inlineStr">
        <is>
          <t>$</t>
        </is>
      </c>
      <c r="J1855" s="2">
        <f>HYPERLINK("https://app.astro.lead-studio.pro/product/950f22b8-5693-4ef4-a6dc-b474cf463d2d")</f>
      </c>
    </row>
    <row r="1856" spans="1:10" customHeight="0">
      <c r="A1856" s="2" t="inlineStr">
        <is>
          <t>МФУ</t>
        </is>
      </c>
      <c r="B1856" s="2" t="inlineStr">
        <is>
          <t>Xerox</t>
        </is>
      </c>
      <c r="C1856" s="2" t="inlineStr">
        <is>
          <t>C8270F_Z RA</t>
        </is>
      </c>
      <c r="D1856" s="2" t="inlineStr">
        <is>
          <t>Колмлект МФУ Xerox AltaLink C8270 A3, МФУ, лазерное, цветное, (А4)70стр/мин, 1200x2400dpi, 4096Мб, 256Гб, /Ethernet (C8270F_Z RA), фальцовщик (097S05098), финишер (097S05026), транспортер для финишера (497K17440), дырокол на 2/4 (497K20610), ключ инициализации (097S05249)</t>
        </is>
      </c>
      <c r="E1856" s="2">
        <v>19</v>
      </c>
      <c r="F1856" s="2">
        <v>19</v>
      </c>
      <c r="H1856" s="2">
        <v>16038</v>
      </c>
      <c r="I1856" s="2" t="inlineStr">
        <is>
          <t>$</t>
        </is>
      </c>
      <c r="J1856" s="2">
        <f>HYPERLINK("https://app.astro.lead-studio.pro/product/8058622c-66ef-45e2-b405-3dbf3c429f06")</f>
      </c>
    </row>
    <row r="1857" spans="1:10" customHeight="0">
      <c r="A1857" s="2" t="inlineStr">
        <is>
          <t>МФУ</t>
        </is>
      </c>
      <c r="B1857" s="2" t="inlineStr">
        <is>
          <t>F+imaging</t>
        </is>
      </c>
      <c r="C1857" s="2" t="inlineStr">
        <is>
          <t>MC241adfw||bp</t>
        </is>
      </c>
      <c r="D1857" s="2" t="inlineStr">
        <is>
          <t>МФУ F+imaging Bad Pack МФУ Fplus, лаз. цвет,  факс, A4, 24/24 стр/мин, дуплекс 13 стр/мин, 600x600dpi, 2400x600dpi  bp</t>
        </is>
      </c>
      <c r="E1857" s="2">
        <v>1</v>
      </c>
      <c r="F1857" s="2">
        <v>1</v>
      </c>
      <c r="H1857" s="2">
        <v>658</v>
      </c>
      <c r="I1857" s="2" t="inlineStr">
        <is>
          <t>$</t>
        </is>
      </c>
      <c r="J1857" s="2">
        <f>HYPERLINK("https://app.astro.lead-studio.pro/product/8e6c66f4-d379-40d2-b3e5-2baaf62e6520")</f>
      </c>
    </row>
    <row r="1858" spans="1:10" customHeight="0">
      <c r="A1858" s="2" t="inlineStr">
        <is>
          <t>МФУ</t>
        </is>
      </c>
      <c r="B1858" s="2" t="inlineStr">
        <is>
          <t>Катюша</t>
        </is>
      </c>
      <c r="C1858" s="2" t="inlineStr">
        <is>
          <t>Катюша M247e</t>
        </is>
      </c>
      <c r="D1858" s="2" t="inlineStr">
        <is>
          <t>МФУ Катюша M247e принтер/копир/сканер/факс. 47 стр/мин А4+ Ч/Б печать, 1200 dpi. Сканер цвет А4-А3 до 60 стр/мин. CPU 1 ГГц, 1 ГБ RAM, Ethernet, USB, USB-host, Wi-Fi. PS3, PCL, PDF, GDI. ADF 50 листов. 6" панель управления + клавиатура. Тонер 3 000 отп., заменяемый 6 000/13 000  отп. До 200 000 отп/мес.</t>
        </is>
      </c>
      <c r="E1858" s="2">
        <v>18</v>
      </c>
      <c r="F1858" s="2">
        <v>18</v>
      </c>
      <c r="H1858" s="2">
        <v>1621</v>
      </c>
      <c r="I1858" s="2" t="inlineStr">
        <is>
          <t>$</t>
        </is>
      </c>
      <c r="J1858" s="2">
        <f>HYPERLINK("https://app.astro.lead-studio.pro/product/af2ce1e3-b343-4c40-ae89-ee77a86397b7")</f>
      </c>
    </row>
    <row r="1859" spans="1:10" customHeight="0">
      <c r="A1859" s="2" t="inlineStr">
        <is>
          <t>МФУ</t>
        </is>
      </c>
      <c r="B1859" s="2" t="inlineStr">
        <is>
          <t>Катюша</t>
        </is>
      </c>
      <c r="C1859" s="2" t="inlineStr">
        <is>
          <t>Катюша M348</t>
        </is>
      </c>
      <c r="D1859" s="2" t="inlineStr">
        <is>
          <t>МФУ Катюша M348, обязателен выбор опции РТМ348 или СВМ348 (лазерное P/S/C/F, А3, 48 стр/мин, 1200 dpi, цветной сканер А4-А3 до 70 стр/мин, факс Super G3, 2 Гб RAM, LAN, USB, Wi-Fi, подача 1100 листов, вывод 600 листов, ADF 90 листов) (525369)</t>
        </is>
      </c>
      <c r="E1859" s="2">
        <v>9</v>
      </c>
      <c r="F1859" s="2">
        <v>9</v>
      </c>
      <c r="H1859" s="2">
        <v>5974</v>
      </c>
      <c r="I1859" s="2" t="inlineStr">
        <is>
          <t>$</t>
        </is>
      </c>
      <c r="J1859" s="2">
        <f>HYPERLINK("https://app.astro.lead-studio.pro/product/600b14a9-9cf1-47ce-a311-6f4d566ee147")</f>
      </c>
    </row>
    <row r="1860" spans="1:10" customHeight="0">
      <c r="A1860" s="2" t="inlineStr">
        <is>
          <t>МФУ</t>
        </is>
      </c>
      <c r="B1860" s="2" t="inlineStr">
        <is>
          <t>Катюша</t>
        </is>
      </c>
      <c r="C1860" s="2" t="inlineStr">
        <is>
          <t>Катюша M348||bp</t>
        </is>
      </c>
      <c r="D1860" s="2" t="inlineStr">
        <is>
          <t>МФУ Катюша Bad Pack M348, обязателен выбор опции РТМ348 или СВМ348 (МФУ лазерное P/S/C/F, А3, 48 стр/мин, 1200 dpi, цветной сканер А4-А3 до 70 стр/мин, факс Super G3, 2 Гб RAM, LAN, USB, Wi-Fi, подача 1100 листов, вывод 600 листов, ADF 90 листов) (525369)</t>
        </is>
      </c>
      <c r="E1860" s="2">
        <v>1</v>
      </c>
      <c r="F1860" s="2">
        <v>1</v>
      </c>
      <c r="H1860" s="2">
        <v>2754</v>
      </c>
      <c r="I1860" s="2" t="inlineStr">
        <is>
          <t>$</t>
        </is>
      </c>
      <c r="J1860" s="2">
        <f>HYPERLINK("https://app.astro.lead-studio.pro/product/d1dad817-09d2-45a6-93a2-46b2e9496668")</f>
      </c>
    </row>
    <row r="1861" spans="1:10" customHeight="0">
      <c r="A1861" s="2" t="inlineStr">
        <is>
          <t>МФУ</t>
        </is>
      </c>
      <c r="B1861" s="2" t="inlineStr">
        <is>
          <t>Fujifilm</t>
        </is>
      </c>
      <c r="C1861" s="2" t="inlineStr">
        <is>
          <t>ТС101909</t>
        </is>
      </c>
      <c r="D1861" s="2" t="inlineStr">
        <is>
          <t>Fujifilm Apeos C3060CPS (А3, цвет,30 стр/мин,USB,4G, HDD 128G/Ethernet/лотки/DADF/тонеры +1T box в комплекте )</t>
        </is>
      </c>
      <c r="E1861" s="2">
        <v>29</v>
      </c>
      <c r="F1861" s="2">
        <v>29</v>
      </c>
      <c r="H1861" s="2">
        <v>2336</v>
      </c>
      <c r="I1861" s="2" t="inlineStr">
        <is>
          <t>$</t>
        </is>
      </c>
      <c r="J1861" s="2">
        <f>HYPERLINK("https://app.astro.lead-studio.pro/product/87fbe0ef-686a-4375-8c09-b4f42cfac5c4")</f>
      </c>
    </row>
    <row r="1862" spans="1:10" customHeight="0">
      <c r="A1862" s="2" t="inlineStr">
        <is>
          <t>МФУ</t>
        </is>
      </c>
      <c r="B1862" s="2" t="inlineStr">
        <is>
          <t>Xiaomi</t>
        </is>
      </c>
      <c r="C1862" s="2" t="inlineStr">
        <is>
          <t>BHR7410RU</t>
        </is>
      </c>
      <c r="D1862" s="2" t="inlineStr">
        <is>
          <t>МФУ  Xiaomi Wireless All-in-One Inkjet Printer BHR7410RU  </t>
        </is>
      </c>
      <c r="E1862" s="2">
        <v>92</v>
      </c>
      <c r="F1862" s="2">
        <v>92</v>
      </c>
      <c r="H1862" s="2">
        <v>318</v>
      </c>
      <c r="I1862" s="2" t="inlineStr">
        <is>
          <t>$</t>
        </is>
      </c>
      <c r="J1862" s="2">
        <f>HYPERLINK("https://app.astro.lead-studio.pro/product/4a1fe9af-a187-4636-a6d6-3dc65c4687cb")</f>
      </c>
    </row>
    <row r="1863" spans="1:10" customHeight="0">
      <c r="A1863" s="2" t="inlineStr">
        <is>
          <t>МФУ</t>
        </is>
      </c>
      <c r="B1863" s="2" t="inlineStr">
        <is>
          <t>Epson</t>
        </is>
      </c>
      <c r="C1863" s="2" t="inlineStr">
        <is>
          <t>C11CH68403</t>
        </is>
      </c>
      <c r="D1863" s="2" t="inlineStr">
        <is>
          <t>МФУ Epson WF-7830DTWF (МФУ струйное цветное  P/S/C, A3, 1200x2400 dpi, 25 стр/мин) модуль STI6200B-D101</t>
        </is>
      </c>
      <c r="E1863" s="2">
        <v>6</v>
      </c>
      <c r="F1863" s="2">
        <v>6</v>
      </c>
      <c r="H1863" s="2">
        <v>533</v>
      </c>
      <c r="I1863" s="2" t="inlineStr">
        <is>
          <t>$</t>
        </is>
      </c>
      <c r="J1863" s="2">
        <f>HYPERLINK("https://app.astro.lead-studio.pro/product/4c87bbef-c526-48b5-b3a5-c889aed4ae6d")</f>
      </c>
    </row>
    <row r="1864" spans="1:10" customHeight="0">
      <c r="A1864" s="2" t="inlineStr">
        <is>
          <t>МФУ</t>
        </is>
      </c>
      <c r="B1864" s="2" t="inlineStr">
        <is>
          <t>Epson</t>
        </is>
      </c>
      <c r="C1864" s="2" t="inlineStr">
        <is>
          <t>C11CH68403||bp</t>
        </is>
      </c>
      <c r="D1864" s="2" t="inlineStr">
        <is>
          <t>МФУ Epson Bad Pack Epson WF-7830DTWF (МФУ струйное цветное  P/S/C, A3, 1200x2400 dpi, 25 стр/мин)  модуль STI6200B-D101 модуль STI6200B-D101</t>
        </is>
      </c>
      <c r="E1864" s="2">
        <v>1</v>
      </c>
      <c r="F1864" s="2">
        <v>1</v>
      </c>
      <c r="H1864" s="2">
        <v>424</v>
      </c>
      <c r="I1864" s="2" t="inlineStr">
        <is>
          <t>$</t>
        </is>
      </c>
      <c r="J1864" s="2">
        <f>HYPERLINK("https://app.astro.lead-studio.pro/product/2d5b8a64-3d0d-4cba-bbc7-99b2dc01f51e")</f>
      </c>
    </row>
    <row r="1865" spans="1:10" customHeight="0">
      <c r="A1865" s="2" t="inlineStr">
        <is>
          <t>Принтеры</t>
        </is>
      </c>
      <c r="B1865" s="2" t="inlineStr">
        <is>
          <t>Kyocera</t>
        </is>
      </c>
      <c r="C1865" s="2" t="inlineStr">
        <is>
          <t>1102RS3NL0</t>
        </is>
      </c>
      <c r="D1865" s="2" t="inlineStr">
        <is>
          <t>Принтер Kyocera P4060dn (Принтер лазерный, А3, 60/30(A4/A3) стр/мин, 1200x1200 dpi, 4 Гб+8 Гб SSD+320 Гб HDD, USB 2.0, Network, HyPAS, лоток 2*500 л., Duplex, старт.тонер 16000 стр.) (061299)</t>
        </is>
      </c>
      <c r="E1865" s="2">
        <v>16</v>
      </c>
      <c r="F1865" s="2">
        <v>16</v>
      </c>
      <c r="H1865" s="2">
        <v>4036</v>
      </c>
      <c r="I1865" s="2" t="inlineStr">
        <is>
          <t>$</t>
        </is>
      </c>
      <c r="J1865" s="2">
        <f>HYPERLINK("https://app.astro.lead-studio.pro/product/656c75f8-e48f-4e00-9dca-3728d61d336f")</f>
      </c>
    </row>
    <row r="1866" spans="1:10" customHeight="0">
      <c r="A1866" s="2" t="inlineStr">
        <is>
          <t>Принтеры</t>
        </is>
      </c>
      <c r="B1866" s="2" t="inlineStr">
        <is>
          <t>Kyocera</t>
        </is>
      </c>
      <c r="C1866" s="2" t="inlineStr">
        <is>
          <t>1102RW3NL0</t>
        </is>
      </c>
      <c r="D1866" s="2" t="inlineStr">
        <is>
          <t>Принтер Kyocera P2235dw (Принтер лазерный A4, 35 стр/мин, 256Mb, USB2.0, дуплекс, Ethernet,wifi)</t>
        </is>
      </c>
      <c r="E1866" s="2">
        <v>100</v>
      </c>
      <c r="F1866" s="2">
        <v>100</v>
      </c>
      <c r="H1866" s="2">
        <v>433</v>
      </c>
      <c r="I1866" s="2" t="inlineStr">
        <is>
          <t>$</t>
        </is>
      </c>
      <c r="J1866" s="2">
        <f>HYPERLINK("https://app.astro.lead-studio.pro/product/02d7142e-aded-41ec-a8c1-8da808896fa5")</f>
      </c>
    </row>
    <row r="1867" spans="1:10" customHeight="0">
      <c r="A1867" s="2" t="inlineStr">
        <is>
          <t>Принтеры</t>
        </is>
      </c>
      <c r="B1867" s="2" t="inlineStr">
        <is>
          <t>Kyocera</t>
        </is>
      </c>
      <c r="C1867" s="2" t="inlineStr">
        <is>
          <t>1102YJ3NL0</t>
        </is>
      </c>
      <c r="D1867" s="2" t="inlineStr">
        <is>
          <t>Принтер Kyocera PA3500cx (Принтер лазерный цветной, А4, 35стр/мин, 1200х1200, дуплекс, 1,2тыс/100тыс стр. в месяц, USB, Ethernet) (1102YJ3NL0)</t>
        </is>
      </c>
      <c r="E1867" s="2">
        <v>4</v>
      </c>
      <c r="F1867" s="2">
        <v>4</v>
      </c>
      <c r="H1867" s="2">
        <v>472</v>
      </c>
      <c r="I1867" s="2" t="inlineStr">
        <is>
          <t>$</t>
        </is>
      </c>
      <c r="J1867" s="2">
        <f>HYPERLINK("https://app.astro.lead-studio.pro/product/45091ddf-6665-4b77-b36b-1effc87bc280")</f>
      </c>
    </row>
    <row r="1868" spans="1:10" customHeight="0">
      <c r="A1868" s="2" t="inlineStr">
        <is>
          <t>Принтеры</t>
        </is>
      </c>
      <c r="B1868" s="2" t="inlineStr">
        <is>
          <t>Kyocera</t>
        </is>
      </c>
      <c r="C1868" s="2" t="inlineStr">
        <is>
          <t>110C0C3NL0||bp</t>
        </is>
      </c>
      <c r="D1868" s="2" t="inlineStr">
        <is>
          <t>Принтер Kyocera PA2100cx (цветной лазерный A4, 21 стр/мин, 1200x1200 dpi, 512 Мб, USB 2.0, Network, </t>
        </is>
      </c>
      <c r="E1868" s="2">
        <v>4</v>
      </c>
      <c r="F1868" s="2">
        <v>4</v>
      </c>
      <c r="H1868" s="2">
        <v>395</v>
      </c>
      <c r="I1868" s="2" t="inlineStr">
        <is>
          <t>$</t>
        </is>
      </c>
      <c r="J1868" s="2">
        <f>HYPERLINK("https://app.astro.lead-studio.pro/product/2b8c1567-08ed-4642-be26-a37118335e95")</f>
      </c>
    </row>
    <row r="1869" spans="1:10" customHeight="0">
      <c r="A1869" s="2" t="inlineStr">
        <is>
          <t>Принтеры</t>
        </is>
      </c>
      <c r="B1869" s="2" t="inlineStr">
        <is>
          <t>Kyocera</t>
        </is>
      </c>
      <c r="C1869" s="2" t="inlineStr">
        <is>
          <t>110C0Y3NL0</t>
        </is>
      </c>
      <c r="D1869" s="2" t="inlineStr">
        <is>
          <t>Принтер Kyocera PA4500x монохромный лазерный</t>
        </is>
      </c>
      <c r="E1869" s="2">
        <v>6</v>
      </c>
      <c r="F1869" s="2">
        <v>6</v>
      </c>
      <c r="H1869" s="2">
        <v>447</v>
      </c>
      <c r="I1869" s="2" t="inlineStr">
        <is>
          <t>$</t>
        </is>
      </c>
      <c r="J1869" s="2">
        <f>HYPERLINK("https://app.astro.lead-studio.pro/product/d653d318-07cc-477d-bbb8-2ce48d5d01f2")</f>
      </c>
    </row>
    <row r="1870" spans="1:10" customHeight="0">
      <c r="A1870" s="2" t="inlineStr">
        <is>
          <t>Принтеры</t>
        </is>
      </c>
      <c r="B1870" s="2" t="inlineStr">
        <is>
          <t>HP</t>
        </is>
      </c>
      <c r="C1870" s="2" t="inlineStr">
        <is>
          <t>3PZ95A</t>
        </is>
      </c>
      <c r="D1870" s="2" t="inlineStr">
        <is>
          <t>Принтер HP Color LaserJet Pro M455dn (Принтер лазерный цветной, A4, 600x600 dpi, 27 ppm, 1,25Gb, 2trays 50+250, Duplex, USB/GigEth)</t>
        </is>
      </c>
      <c r="E1870" s="2">
        <v>17</v>
      </c>
      <c r="F1870" s="2">
        <v>17</v>
      </c>
      <c r="H1870" s="2">
        <v>527</v>
      </c>
      <c r="I1870" s="2" t="inlineStr">
        <is>
          <t>$</t>
        </is>
      </c>
      <c r="J1870" s="2">
        <f>HYPERLINK("https://app.astro.lead-studio.pro/product/4fda105b-b54f-4ce4-9d08-13d792190a37")</f>
      </c>
    </row>
    <row r="1871" spans="1:10" customHeight="0">
      <c r="A1871" s="2" t="inlineStr">
        <is>
          <t>Принтеры</t>
        </is>
      </c>
      <c r="B1871" s="2" t="inlineStr">
        <is>
          <t>Ricoh</t>
        </is>
      </c>
      <c r="C1871" s="2" t="inlineStr">
        <is>
          <t>408064</t>
        </is>
      </c>
      <c r="D1871" s="2" t="inlineStr">
        <is>
          <t>Ricoh SP 8400DN (монохромный, А3, 60 стр./мин, PCL/PS3, сеть/дуплекс)</t>
        </is>
      </c>
      <c r="E1871" s="2">
        <v>6</v>
      </c>
      <c r="F1871" s="2">
        <v>6</v>
      </c>
      <c r="H1871" s="2">
        <v>6035</v>
      </c>
      <c r="I1871" s="2" t="inlineStr">
        <is>
          <t>$</t>
        </is>
      </c>
      <c r="J1871" s="2">
        <f>HYPERLINK("https://app.astro.lead-studio.pro/product/aa431081-a767-493c-a708-c72ab9ae97c7")</f>
      </c>
    </row>
    <row r="1872" spans="1:10" customHeight="0">
      <c r="A1872" s="2" t="inlineStr">
        <is>
          <t>Принтеры</t>
        </is>
      </c>
      <c r="B1872" s="2" t="inlineStr">
        <is>
          <t>HP</t>
        </is>
      </c>
      <c r="C1872" s="2" t="inlineStr">
        <is>
          <t>4RA89A#B19</t>
        </is>
      </c>
      <c r="D1872" s="2" t="inlineStr">
        <is>
          <t>HP Color LaserJet Pro 4203DN (принтер лазерный цветной, A4, 600dpi, 33ppm, 512Mb, 1200МГц, 250+50,  Ethernet, USB)</t>
        </is>
      </c>
      <c r="E1872" s="2">
        <v>15</v>
      </c>
      <c r="F1872" s="2">
        <v>15</v>
      </c>
      <c r="H1872" s="2">
        <v>499</v>
      </c>
      <c r="I1872" s="2" t="inlineStr">
        <is>
          <t>$</t>
        </is>
      </c>
      <c r="J1872" s="2">
        <f>HYPERLINK("https://app.astro.lead-studio.pro/product/1258a64b-4872-4a0e-9591-2ac56774b855")</f>
      </c>
    </row>
    <row r="1873" spans="1:10" customHeight="0">
      <c r="A1873" s="2" t="inlineStr">
        <is>
          <t>Принтеры</t>
        </is>
      </c>
      <c r="B1873" s="2" t="inlineStr">
        <is>
          <t>HP</t>
        </is>
      </c>
      <c r="C1873" s="2" t="inlineStr">
        <is>
          <t>5HH48A#B19</t>
        </is>
      </c>
      <c r="D1873" s="2" t="inlineStr">
        <is>
          <t>HP Color LaserJet Pro 4203DW (принтер лазерный цветной, A4, 600dpi, 33ppm, 512Mb, 1200МГц, 250+50,  WIFI, USB)</t>
        </is>
      </c>
      <c r="E1873" s="2">
        <v>18</v>
      </c>
      <c r="F1873" s="2">
        <v>18</v>
      </c>
      <c r="H1873" s="2">
        <v>442</v>
      </c>
      <c r="I1873" s="2" t="inlineStr">
        <is>
          <t>$</t>
        </is>
      </c>
      <c r="J1873" s="2">
        <f>HYPERLINK("https://app.astro.lead-studio.pro/product/7ffd1e8f-7230-4201-8fbc-b9882ff6568d")</f>
      </c>
    </row>
    <row r="1874" spans="1:10" customHeight="0">
      <c r="A1874" s="2" t="inlineStr">
        <is>
          <t>Принтеры</t>
        </is>
      </c>
      <c r="B1874" s="2" t="inlineStr">
        <is>
          <t>HP</t>
        </is>
      </c>
      <c r="C1874" s="2" t="inlineStr">
        <is>
          <t>7PS86A</t>
        </is>
      </c>
      <c r="D1874" s="2" t="inlineStr">
        <is>
          <t>Принтер HP LaserJet Enterprise M612dn (Принтер лазерный, A4 Duplex Net)</t>
        </is>
      </c>
      <c r="E1874" s="2">
        <v>24</v>
      </c>
      <c r="F1874" s="2">
        <v>24</v>
      </c>
      <c r="H1874" s="2">
        <v>1055</v>
      </c>
      <c r="I1874" s="2" t="inlineStr">
        <is>
          <t>$</t>
        </is>
      </c>
      <c r="J1874" s="2">
        <f>HYPERLINK("https://app.astro.lead-studio.pro/product/27f03f81-0a12-4c16-9fc4-31c8869b1f06")</f>
      </c>
    </row>
    <row r="1875" spans="1:10" customHeight="0">
      <c r="A1875" s="2" t="inlineStr">
        <is>
          <t>Принтеры</t>
        </is>
      </c>
      <c r="B1875" s="2" t="inlineStr">
        <is>
          <t>HP</t>
        </is>
      </c>
      <c r="C1875" s="2" t="inlineStr">
        <is>
          <t>7ZU81A||bp</t>
        </is>
      </c>
      <c r="D1875" s="2" t="inlineStr">
        <is>
          <t>Принтер HP Color LaserJet Enterprise M554dn (Принтер лазерный цветной, A4, 1200dpi, ImageREt 3600, 33(33) ppm, 1 Gb, 2 trays 100+550, Duplex, USB/GigEth) (414275)</t>
        </is>
      </c>
      <c r="E1875" s="2">
        <v>1</v>
      </c>
      <c r="F1875" s="2">
        <v>1</v>
      </c>
      <c r="H1875" s="2">
        <v>759</v>
      </c>
      <c r="I1875" s="2" t="inlineStr">
        <is>
          <t>$</t>
        </is>
      </c>
      <c r="J1875" s="2">
        <f>HYPERLINK("https://app.astro.lead-studio.pro/product/226c0eda-fc32-4a0d-a911-18d37923f136")</f>
      </c>
    </row>
    <row r="1876" spans="1:10" customHeight="0">
      <c r="A1876" s="2" t="inlineStr">
        <is>
          <t>Принтеры</t>
        </is>
      </c>
      <c r="B1876" s="2" t="inlineStr">
        <is>
          <t>HP</t>
        </is>
      </c>
      <c r="C1876" s="2" t="inlineStr">
        <is>
          <t>J8H61A</t>
        </is>
      </c>
      <c r="D1876" s="2" t="inlineStr">
        <is>
          <t>Принтер HP LaserJet Pro M501dn (J8H61A) (Принтер лазерный A4, 1200dpi, 43ppm, 256Mb, 2trays 100+550, USB/GigEth, Duplex) (117596)</t>
        </is>
      </c>
      <c r="E1876" s="2">
        <v>50</v>
      </c>
      <c r="F1876" s="2">
        <v>50</v>
      </c>
      <c r="H1876" s="2">
        <v>431</v>
      </c>
      <c r="I1876" s="2" t="inlineStr">
        <is>
          <t>$</t>
        </is>
      </c>
      <c r="J1876" s="2">
        <f>HYPERLINK("https://app.astro.lead-studio.pro/product/11e3e138-30d5-42c0-9d6c-80abefac4f84")</f>
      </c>
    </row>
    <row r="1877" spans="1:10" customHeight="0">
      <c r="A1877" s="2" t="inlineStr">
        <is>
          <t>Принтеры</t>
        </is>
      </c>
      <c r="B1877" s="2" t="inlineStr">
        <is>
          <t>Катюша</t>
        </is>
      </c>
      <c r="C1877" s="2" t="inlineStr">
        <is>
          <t>Катюша P247</t>
        </is>
      </c>
      <c r="D1877" s="2" t="inlineStr">
        <is>
          <t>Принтер Катюша Катюша P247 (Принтер лазерный A4, 47 стр/мин, 1200 dpi, 512 Мб, LAN, USB, Wi-Fi, подача 550 листов, «вывод 250 листов, 2,2» 4х-строчный экран + 15-кнопочная цифровая клавиатура, стартовый картридж 3 000 стр) (945182)»</t>
        </is>
      </c>
      <c r="E1877" s="2">
        <v>26</v>
      </c>
      <c r="F1877" s="2">
        <v>26</v>
      </c>
      <c r="H1877" s="2">
        <v>869</v>
      </c>
      <c r="I1877" s="2" t="inlineStr">
        <is>
          <t>$</t>
        </is>
      </c>
      <c r="J1877" s="2">
        <f>HYPERLINK("https://app.astro.lead-studio.pro/product/4ba62167-70eb-4ac0-8a74-4f894e48f321")</f>
      </c>
    </row>
    <row r="1878" spans="1:10" customHeight="0">
      <c r="A1878" s="2" t="inlineStr">
        <is>
          <t>Принтеры</t>
        </is>
      </c>
      <c r="B1878" s="2" t="inlineStr">
        <is>
          <t>Катюша</t>
        </is>
      </c>
      <c r="C1878" s="2" t="inlineStr">
        <is>
          <t>Катюша P247e</t>
        </is>
      </c>
      <c r="D1878" s="2" t="inlineStr">
        <is>
          <t>Принтер Катюша P247e (лазерный A4, 47 стр/мин А4 Ч/Б, 1200 dpi. CPU 1 ГГц, 1 ГБ RAM, Ethernet, USB, USB-host, Wi-Fi. PS3, PCL5/6, PDF, GDI. 2,2" экран + клавиатура. Тонер 3 000 отп., заменяемый 6 000/13 000 отп. До 200 000 отп/мес.)</t>
        </is>
      </c>
      <c r="E1878" s="2">
        <v>10</v>
      </c>
      <c r="F1878" s="2">
        <v>10</v>
      </c>
      <c r="H1878" s="2">
        <v>1059</v>
      </c>
      <c r="I1878" s="2" t="inlineStr">
        <is>
          <t>$</t>
        </is>
      </c>
      <c r="J1878" s="2">
        <f>HYPERLINK("https://app.astro.lead-studio.pro/product/af46d5ce-46a5-4001-b7d8-18d294aeb9fe")</f>
      </c>
    </row>
    <row r="1879" spans="1:10" customHeight="0">
      <c r="A1879" s="2" t="inlineStr">
        <is>
          <t>Принтеры</t>
        </is>
      </c>
      <c r="B1879" s="2" t="inlineStr">
        <is>
          <t>Epson</t>
        </is>
      </c>
      <c r="C1879" s="2" t="inlineStr">
        <is>
          <t>C11CF37402||bp</t>
        </is>
      </c>
      <c r="D1879" s="2" t="inlineStr">
        <is>
          <t>Bad Pack МФУ Epson Epson FX-890II A4, МФУ, матричное, черно-белое, (C11CF37402)
</t>
        </is>
      </c>
      <c r="E1879" s="2">
        <v>1</v>
      </c>
      <c r="F1879" s="2">
        <v>1</v>
      </c>
      <c r="H1879" s="2">
        <v>657</v>
      </c>
      <c r="I1879" s="2" t="inlineStr">
        <is>
          <t>$</t>
        </is>
      </c>
      <c r="J1879" s="2">
        <f>HYPERLINK("https://app.astro.lead-studio.pro/product/55ff553d-d9e0-4674-a6d1-a2b61de00e50")</f>
      </c>
    </row>
    <row r="1880" spans="1:10" customHeight="0">
      <c r="A1880" s="2" t="inlineStr">
        <is>
          <t>Принтеры</t>
        </is>
      </c>
      <c r="B1880" s="2" t="inlineStr">
        <is>
          <t>Epson</t>
        </is>
      </c>
      <c r="C1880" s="2" t="inlineStr">
        <is>
          <t>C11CD81505||bp</t>
        </is>
      </c>
      <c r="D1880" s="2" t="inlineStr">
        <is>
          <t>Принтер Epson L1300 (Принтер струйный цветной A3+, 30/15 стр/мин, 5760x1440 dpi, СНПЧ, ADF, USB) </t>
        </is>
      </c>
      <c r="E1880" s="2">
        <v>1</v>
      </c>
      <c r="F1880" s="2">
        <v>1</v>
      </c>
      <c r="H1880" s="2">
        <v>718</v>
      </c>
      <c r="I1880" s="2" t="inlineStr">
        <is>
          <t>$</t>
        </is>
      </c>
      <c r="J1880" s="2">
        <f>HYPERLINK("https://app.astro.lead-studio.pro/product/cc0ec99e-df47-4a60-aa9c-2c1afbfe3e1e")</f>
      </c>
    </row>
    <row r="1881" spans="1:10" customHeight="0">
      <c r="A1881" s="2" t="inlineStr">
        <is>
          <t>Принтеры</t>
        </is>
      </c>
      <c r="B1881" s="2" t="inlineStr">
        <is>
          <t>Epson</t>
        </is>
      </c>
      <c r="C1881" s="2" t="inlineStr">
        <is>
          <t>C11CH70402||bp</t>
        </is>
      </c>
      <c r="D1881" s="2" t="inlineStr">
        <is>
          <t>Epson WF-7310DTW  (принтер струйный цветной  P/S/C, A3, 1200x2400 dpi, 32 стр/мин)</t>
        </is>
      </c>
      <c r="E1881" s="2">
        <v>1</v>
      </c>
      <c r="F1881" s="2">
        <v>1</v>
      </c>
      <c r="H1881" s="2">
        <v>386</v>
      </c>
      <c r="I1881" s="2" t="inlineStr">
        <is>
          <t>$</t>
        </is>
      </c>
      <c r="J1881" s="2">
        <f>HYPERLINK("https://app.astro.lead-studio.pro/product/bb3ea718-1dc8-4832-a437-353df024064a")</f>
      </c>
    </row>
    <row r="1882" spans="1:10" customHeight="0">
      <c r="A1882" s="2" t="inlineStr">
        <is>
          <t>Принтеры</t>
        </is>
      </c>
      <c r="B1882" s="2" t="inlineStr">
        <is>
          <t>Epson</t>
        </is>
      </c>
      <c r="C1882" s="2" t="inlineStr">
        <is>
          <t>C11CK37402 / C11CK37504</t>
        </is>
      </c>
      <c r="D1882" s="2" t="inlineStr">
        <is>
          <t>Epson EcoTank L8050 А4, принтер, струйный, цветной, 22стр/мин, 5760x1440dpi, СНПЧ/Wi-Fi/USB (C11CK37402 / C11CK37504 )</t>
        </is>
      </c>
      <c r="E1882" s="2">
        <v>2</v>
      </c>
      <c r="F1882" s="2">
        <v>2</v>
      </c>
      <c r="H1882" s="2">
        <v>373</v>
      </c>
      <c r="I1882" s="2" t="inlineStr">
        <is>
          <t>$</t>
        </is>
      </c>
      <c r="J1882" s="2">
        <f>HYPERLINK("https://app.astro.lead-studio.pro/product/595cdf4c-049e-4798-b094-af8a10a190d6")</f>
      </c>
    </row>
    <row r="1883" spans="1:10" customHeight="0">
      <c r="A1883" s="2" t="inlineStr">
        <is>
          <t>Сканеры</t>
        </is>
      </c>
      <c r="B1883" s="2" t="inlineStr">
        <is>
          <t>Avision</t>
        </is>
      </c>
      <c r="C1883" s="2" t="inlineStr">
        <is>
          <t>000-0864-07G</t>
        </is>
      </c>
      <c r="D1883" s="2" t="inlineStr">
        <is>
          <t>Документ-сканер AD230U (протяжный, А4, 40 стр./мин, CIS, автоподатчик 100 листов, 600 dpi, USB) </t>
        </is>
      </c>
      <c r="E1883" s="2">
        <v>1</v>
      </c>
      <c r="F1883" s="2">
        <v>1</v>
      </c>
      <c r="H1883" s="2">
        <v>450</v>
      </c>
      <c r="I1883" s="2" t="inlineStr">
        <is>
          <t>$</t>
        </is>
      </c>
      <c r="J1883" s="2">
        <f>HYPERLINK("https://app.astro.lead-studio.pro/product/6197e051-15a9-49fb-b033-fde06034af19")</f>
      </c>
    </row>
    <row r="1884" spans="1:10" customHeight="0">
      <c r="A1884" s="2" t="inlineStr">
        <is>
          <t>Сканеры</t>
        </is>
      </c>
      <c r="B1884" s="2" t="inlineStr">
        <is>
          <t>Avision</t>
        </is>
      </c>
      <c r="C1884" s="2" t="inlineStr">
        <is>
          <t>000-0925-02G</t>
        </is>
      </c>
      <c r="D1884" s="2" t="inlineStr">
        <is>
          <t>Сканер Avision AD370</t>
        </is>
      </c>
      <c r="E1884" s="2">
        <v>1</v>
      </c>
      <c r="F1884" s="2">
        <v>1</v>
      </c>
      <c r="H1884" s="2">
        <v>801</v>
      </c>
      <c r="I1884" s="2" t="inlineStr">
        <is>
          <t>$</t>
        </is>
      </c>
      <c r="J1884" s="2">
        <f>HYPERLINK("https://app.astro.lead-studio.pro/product/b067e3da-6c9c-4797-9ca9-3c9e6bddfb49")</f>
      </c>
    </row>
    <row r="1885" spans="1:10" customHeight="0">
      <c r="A1885" s="2" t="inlineStr">
        <is>
          <t>Сканеры</t>
        </is>
      </c>
      <c r="B1885" s="2" t="inlineStr">
        <is>
          <t>Avision</t>
        </is>
      </c>
      <c r="C1885" s="2" t="inlineStr">
        <is>
          <t>000-1093-02G</t>
        </is>
      </c>
      <c r="D1885" s="2" t="inlineStr">
        <is>
          <t>Документ-сканер AD345GL (протяжный, А4, 40 стр./мин, CIS, автоподатчик 100 листов, двусторонний, ультразвуковой датчик) </t>
        </is>
      </c>
      <c r="E1885" s="2">
        <v>1</v>
      </c>
      <c r="F1885" s="2">
        <v>1</v>
      </c>
      <c r="H1885" s="2">
        <v>595</v>
      </c>
      <c r="I1885" s="2" t="inlineStr">
        <is>
          <t>$</t>
        </is>
      </c>
      <c r="J1885" s="2">
        <f>HYPERLINK("https://app.astro.lead-studio.pro/product/5cb324f1-b514-4f97-bb22-f4e060873a6a")</f>
      </c>
    </row>
    <row r="1886" spans="1:10" customHeight="0">
      <c r="A1886" s="2" t="inlineStr">
        <is>
          <t>Сканеры</t>
        </is>
      </c>
      <c r="B1886" s="2" t="inlineStr">
        <is>
          <t>Canon</t>
        </is>
      </c>
      <c r="C1886" s="2" t="inlineStr">
        <is>
          <t>0651C003</t>
        </is>
      </c>
      <c r="D1886" s="2" t="inlineStr">
        <is>
          <t>Сканер протяжный Canon imageFORMULA DR-C240, A4, CIS, 600x600dpi, ДАПД 60 листов, 24 бит, USB 2.0</t>
        </is>
      </c>
      <c r="E1886" s="2">
        <v>23</v>
      </c>
      <c r="F1886" s="2">
        <v>23</v>
      </c>
      <c r="H1886" s="2">
        <v>483</v>
      </c>
      <c r="I1886" s="2" t="inlineStr">
        <is>
          <t>$</t>
        </is>
      </c>
      <c r="J1886" s="2">
        <f>HYPERLINK("https://app.astro.lead-studio.pro/product/863c8a80-4ebc-44f0-89c0-ccf41d1d1c78")</f>
      </c>
    </row>
    <row r="1887" spans="1:10" customHeight="0">
      <c r="A1887" s="2" t="inlineStr">
        <is>
          <t>Сканеры</t>
        </is>
      </c>
      <c r="B1887" s="2" t="inlineStr">
        <is>
          <t>HP</t>
        </is>
      </c>
      <c r="C1887" s="2" t="inlineStr">
        <is>
          <t>20G06A||bp</t>
        </is>
      </c>
      <c r="D1887" s="2" t="inlineStr">
        <is>
          <t>Сканер HP Bad Pack HP ScanJet Pro 3600 f1 A4, Сканер, Планшетный, Цветное, 30стр/мин, 600х600dpi,60АПД, USB 20G06A
bp</t>
        </is>
      </c>
      <c r="E1887" s="2">
        <v>4</v>
      </c>
      <c r="F1887" s="2">
        <v>4</v>
      </c>
      <c r="H1887" s="2">
        <v>545</v>
      </c>
      <c r="I1887" s="2" t="inlineStr">
        <is>
          <t>$</t>
        </is>
      </c>
      <c r="J1887" s="2">
        <f>HYPERLINK("https://app.astro.lead-studio.pro/product/9419469d-60d0-4cef-b888-d9ab305a8226")</f>
      </c>
    </row>
    <row r="1888" spans="1:10" customHeight="0">
      <c r="A1888" s="2" t="inlineStr">
        <is>
          <t>3D печать</t>
        </is>
      </c>
      <c r="B1888" s="2" t="inlineStr">
        <is>
          <t>BIQU</t>
        </is>
      </c>
      <c r="C1888" s="2" t="inlineStr">
        <is>
          <t>1010000085</t>
        </is>
      </c>
      <c r="D1888" s="2" t="inlineStr">
        <is>
          <t>3D Принтер PIXEL L</t>
        </is>
      </c>
      <c r="E1888" s="2">
        <v>6</v>
      </c>
      <c r="F1888" s="2">
        <v>6</v>
      </c>
      <c r="H1888" s="2">
        <v>635</v>
      </c>
      <c r="I1888" s="2" t="inlineStr">
        <is>
          <t>$</t>
        </is>
      </c>
      <c r="J1888" s="2">
        <f>HYPERLINK("https://app.astro.lead-studio.pro/product/3a8a9341-3287-455a-a1ef-fefade4510f3")</f>
      </c>
    </row>
    <row r="1889" spans="1:10" customHeight="0">
      <c r="A1889" s="2" t="inlineStr">
        <is>
          <t>KVM переключатели</t>
        </is>
      </c>
      <c r="B1889" s="2" t="inlineStr">
        <is>
          <t>TRENDnet</t>
        </is>
      </c>
      <c r="C1889" s="2" t="inlineStr">
        <is>
          <t>TK-422DVK</t>
        </is>
      </c>
      <c r="D1889" s="2" t="inlineStr">
        <is>
          <t>Переключатель консоли (KVM) TRENDnet 4-port DVI KVM Switch Kit RTL {6}</t>
        </is>
      </c>
      <c r="E1889" s="2">
        <v>1</v>
      </c>
      <c r="F1889" s="2">
        <v>1</v>
      </c>
      <c r="H1889" s="2">
        <v>411</v>
      </c>
      <c r="I1889" s="2" t="inlineStr">
        <is>
          <t>$</t>
        </is>
      </c>
      <c r="J1889" s="2">
        <f>HYPERLINK("https://app.astro.lead-studio.pro/product/20294f1b-2c39-4c77-af12-5fb1b8d0de1c")</f>
      </c>
    </row>
    <row r="1890" spans="1:10" customHeight="0">
      <c r="A1890" s="2" t="inlineStr">
        <is>
          <t>Баребоны</t>
        </is>
      </c>
      <c r="B1890" s="2" t="inlineStr">
        <is>
          <t>Lime</t>
        </is>
      </c>
      <c r="C1890" s="2" t="inlineStr">
        <is>
          <t>B85-68</t>
        </is>
      </c>
      <c r="D1890" s="2" t="inlineStr">
        <is>
          <t>Платформа системного блока с ЦПУ Lime D868Z-CK V1.0(2950M) Intel®PGA 946 Haswell 4th Gen Celeron 2950M series CPU, Adopt HM86 Express chipset,1* DDR3L SODIMM RAM slot, 1600MHz, 8GB,1* VGA display output (B85-68)</t>
        </is>
      </c>
      <c r="E1890" s="2">
        <v>100</v>
      </c>
      <c r="F1890" s="2">
        <v>100</v>
      </c>
      <c r="H1890" s="2">
        <v>407</v>
      </c>
      <c r="I1890" s="2" t="inlineStr">
        <is>
          <t>$</t>
        </is>
      </c>
      <c r="J1890" s="2">
        <f>HYPERLINK("https://app.astro.lead-studio.pro/product/4d109cf7-b5d5-43b2-80f4-ce7c8a891184")</f>
      </c>
    </row>
    <row r="1891" spans="1:10" customHeight="0">
      <c r="A1891" s="2" t="inlineStr">
        <is>
          <t>Баребоны</t>
        </is>
      </c>
      <c r="B1891" s="2" t="inlineStr">
        <is>
          <t>Intel</t>
        </is>
      </c>
      <c r="C1891" s="2" t="inlineStr">
        <is>
          <t>RNUC13ANHI30000</t>
        </is>
      </c>
      <c r="D1891" s="2" t="inlineStr">
        <is>
          <t>Платформа системного блока с ЦПУ Intel NUC RNUC13ANHI30000,Intel Core i3 1315U, SODIMM DDR4, Intel UHD Graphics, 1(USB 2.0), 1(USB 3.0), 2(HDMI), BT, Wi-Fi, нет ОС</t>
        </is>
      </c>
      <c r="E1891" s="2">
        <v>6</v>
      </c>
      <c r="F1891" s="2">
        <v>6</v>
      </c>
      <c r="H1891" s="2">
        <v>497</v>
      </c>
      <c r="I1891" s="2" t="inlineStr">
        <is>
          <t>$</t>
        </is>
      </c>
      <c r="J1891" s="2">
        <f>HYPERLINK("https://app.astro.lead-studio.pro/product/7f6301e7-8929-4c3c-8a91-05a66c9df32c")</f>
      </c>
    </row>
    <row r="1892" spans="1:10" customHeight="0">
      <c r="A1892" s="2" t="inlineStr">
        <is>
          <t>Баребоны</t>
        </is>
      </c>
      <c r="B1892" s="2" t="inlineStr">
        <is>
          <t>Zotac</t>
        </is>
      </c>
      <c r="C1892" s="2" t="inlineStr">
        <is>
          <t>ZBOX-CI665NANO-BE</t>
        </is>
      </c>
      <c r="D1892" s="2" t="inlineStr">
        <is>
          <t>Платформа системного блока с ЦПУ Zotac ZBOX NANO ZBOX-CI665NANO SFF, FANLESS, i7-1165G7, 2X DDR4 SODIMM, 2.5" SATAIII BAY, 2 GLAN, WIFI, BT,DP/HDMI, EU+UK PLUG (624056)</t>
        </is>
      </c>
      <c r="E1892" s="2">
        <v>2</v>
      </c>
      <c r="F1892" s="2">
        <v>2</v>
      </c>
      <c r="H1892" s="2">
        <v>794</v>
      </c>
      <c r="I1892" s="2" t="inlineStr">
        <is>
          <t>$</t>
        </is>
      </c>
      <c r="J1892" s="2">
        <f>HYPERLINK("https://app.astro.lead-studio.pro/product/2073fe34-9079-4e80-b304-c8ee59cf5e3b")</f>
      </c>
    </row>
    <row r="1893" spans="1:10" customHeight="0">
      <c r="A1893" s="2" t="inlineStr">
        <is>
          <t>Баребоны</t>
        </is>
      </c>
      <c r="B1893" s="2" t="inlineStr">
        <is>
          <t>Zotac</t>
        </is>
      </c>
      <c r="C1893" s="2" t="inlineStr">
        <is>
          <t>ZBOX-CI669NANO-BE</t>
        </is>
      </c>
      <c r="D1893" s="2" t="inlineStr">
        <is>
          <t>Платформа системного блока с ЦПУ Zotac ZOTAC ZBOX NANO, SFF, FANLESS, i7-1355U, 2 DDR5 SODIMM, M.2 SSD, 2.5" SATAIII BAY, 2 GLAN, WIFI, BT, USBDRV, DP/HDMI, EU+UK PLUG</t>
        </is>
      </c>
      <c r="E1893" s="2">
        <v>22</v>
      </c>
      <c r="F1893" s="2">
        <v>22</v>
      </c>
      <c r="H1893" s="2">
        <v>724</v>
      </c>
      <c r="I1893" s="2" t="inlineStr">
        <is>
          <t>$</t>
        </is>
      </c>
      <c r="J1893" s="2">
        <f>HYPERLINK("https://app.astro.lead-studio.pro/product/d4558571-b776-4e03-bc5b-5600f6acfc16")</f>
      </c>
    </row>
    <row r="1894" spans="1:10" customHeight="0">
      <c r="A1894" s="2" t="inlineStr">
        <is>
          <t>Баребоны</t>
        </is>
      </c>
      <c r="B1894" s="2" t="inlineStr">
        <is>
          <t>Zotac</t>
        </is>
      </c>
      <c r="C1894" s="2" t="inlineStr">
        <is>
          <t>ZBOX-ECM7307LH-BE||bp</t>
        </is>
      </c>
      <c r="D1894" s="2" t="inlineStr">
        <is>
          <t>Платформа системного блока с ЦПУ Zotac Bad Pack ZBOX-ECM7307LH-BE, Barebone, NVIDIA RTX3070-LHR, Intel i7-10700,  "2.5" SATAIII BAY, WIFI, BT, 2.5G LAN, GLAN, 3x DP, HDMI, EU+UK PLUG (Desktop Graphics) (623486)"
2x DDR4 SODIMM slots, M2 SSD slot, bp</t>
        </is>
      </c>
      <c r="E1894" s="2">
        <v>1</v>
      </c>
      <c r="F1894" s="2">
        <v>1</v>
      </c>
      <c r="H1894" s="2">
        <v>1533</v>
      </c>
      <c r="I1894" s="2" t="inlineStr">
        <is>
          <t>$</t>
        </is>
      </c>
      <c r="J1894" s="2">
        <f>HYPERLINK("https://app.astro.lead-studio.pro/product/29f78629-ebb6-4bb0-a358-879ab1eb956a")</f>
      </c>
    </row>
    <row r="1895" spans="1:10" customHeight="0">
      <c r="A1895" s="2" t="inlineStr">
        <is>
          <t>Баребоны</t>
        </is>
      </c>
      <c r="B1895" s="2" t="inlineStr">
        <is>
          <t>Zotac</t>
        </is>
      </c>
      <c r="C1895" s="2" t="inlineStr">
        <is>
          <t>ZBOX-EN374070C-BE</t>
        </is>
      </c>
      <c r="D1895" s="2" t="inlineStr">
        <is>
          <t>Мини ПК ZOTAC ZBOX,SFF, i7-13700HX, RTX4070 LAPTOP, 2x DDR5 SODIMM SLOT, M.2 SSD SLOT, WIFI, BT, DUAL 2.5G LAN, 2x DP, 1x HDMI, EU PLUG</t>
        </is>
      </c>
      <c r="E1895" s="2">
        <v>1</v>
      </c>
      <c r="F1895" s="2">
        <v>1</v>
      </c>
      <c r="H1895" s="2">
        <v>1772</v>
      </c>
      <c r="I1895" s="2" t="inlineStr">
        <is>
          <t>$</t>
        </is>
      </c>
      <c r="J1895" s="2">
        <f>HYPERLINK("https://app.astro.lead-studio.pro/product/8c247a14-f7f1-404b-9721-21d06072c9b0")</f>
      </c>
    </row>
    <row r="1896" spans="1:10" customHeight="0">
      <c r="A1896" s="2" t="inlineStr">
        <is>
          <t>Баребоны</t>
        </is>
      </c>
      <c r="B1896" s="2" t="inlineStr">
        <is>
          <t>Zotac</t>
        </is>
      </c>
      <c r="C1896" s="2" t="inlineStr">
        <is>
          <t>ZBOX-QRP7N3500-BE</t>
        </is>
      </c>
      <c r="D1896" s="2" t="inlineStr">
        <is>
          <t>Платформа мини пк ZBOX-QRP7N3500-BE Barebone NVIDIA RTX 3500,Intel i7-13700HX, 2x DDR5 SODIMM slot, M.2 SSD</t>
        </is>
      </c>
      <c r="E1896" s="2">
        <v>13</v>
      </c>
      <c r="F1896" s="2">
        <v>13</v>
      </c>
      <c r="H1896" s="2">
        <v>2501</v>
      </c>
      <c r="I1896" s="2" t="inlineStr">
        <is>
          <t>$</t>
        </is>
      </c>
      <c r="J1896" s="2">
        <f>HYPERLINK("https://app.astro.lead-studio.pro/product/580f3b0c-2761-494b-a457-ba15039b6afe")</f>
      </c>
    </row>
    <row r="1897" spans="1:10" customHeight="0">
      <c r="A1897" s="2" t="inlineStr">
        <is>
          <t>Моноблоки (платформы)</t>
        </is>
      </c>
      <c r="B1897" s="2" t="inlineStr">
        <is>
          <t>Bmorn</t>
        </is>
      </c>
      <c r="C1897" s="2" t="inlineStr">
        <is>
          <t>A23H66DP</t>
        </is>
      </c>
      <c r="D1897" s="2" t="inlineStr">
        <is>
          <t>Платформа моноблока 23.8 FHD IPS /H610/Without CPU, DDR4, SSD/AC WIFI&amp;BT/5.0MP/150W/DP+HDMI+Type C</t>
        </is>
      </c>
      <c r="E1897" s="2">
        <v>100</v>
      </c>
      <c r="F1897" s="2">
        <v>100</v>
      </c>
      <c r="H1897" s="2">
        <v>334</v>
      </c>
      <c r="I1897" s="2" t="inlineStr">
        <is>
          <t>$</t>
        </is>
      </c>
      <c r="J1897" s="2">
        <f>HYPERLINK("https://app.astro.lead-studio.pro/product/6116f2fd-46a3-4ff2-b62a-b11822015fd2")</f>
      </c>
    </row>
    <row r="1898" spans="1:10" customHeight="0">
      <c r="A1898" s="2" t="inlineStr">
        <is>
          <t>Моноблоки (платформы)</t>
        </is>
      </c>
      <c r="B1898" s="2" t="inlineStr">
        <is>
          <t>Prittec</t>
        </is>
      </c>
      <c r="C1898" s="2" t="inlineStr">
        <is>
          <t>A24 WB H610</t>
        </is>
      </c>
      <c r="D1898" s="2" t="inlineStr">
        <is>
          <t>Платформа AIO Prittec Платформа-моноблок Prittec  A24 L6 Zero Bright Dot IPS Full HD Panel/Weibu H610 MB/Intel 3165 WIFI AC+BT/2 x 3W Speakers/ Full Copper Thermal Module/Side IO with Type C x 1+ USB 3 x 1 + Combo Audio/2M Full HD Camera/150W Power Adaptor</t>
        </is>
      </c>
      <c r="E1898" s="2">
        <v>100</v>
      </c>
      <c r="F1898" s="2">
        <v>100</v>
      </c>
      <c r="H1898" s="2">
        <v>350</v>
      </c>
      <c r="I1898" s="2" t="inlineStr">
        <is>
          <t>$</t>
        </is>
      </c>
      <c r="J1898" s="2">
        <f>HYPERLINK("https://app.astro.lead-studio.pro/product/7e3ea2a1-c7cd-471a-b3a8-865ef56c728b")</f>
      </c>
    </row>
    <row r="1899" spans="1:10" customHeight="0">
      <c r="A1899" s="2" t="inlineStr">
        <is>
          <t>Моноблоки (платформы)</t>
        </is>
      </c>
      <c r="B1899" s="2" t="inlineStr">
        <is>
          <t>Prittec</t>
        </is>
      </c>
      <c r="C1899" s="2" t="inlineStr">
        <is>
          <t>A27 Asus H510 2K</t>
        </is>
      </c>
      <c r="D1899" s="2" t="inlineStr">
        <is>
          <t>Платформа AIO Prittec A27 Asus H510 QHD(2K),Asus H510 MB, Intel 3165 Wifi, speakers, thermal module,side IO with USB3.0+TypeC+SD, 120W adaptor</t>
        </is>
      </c>
      <c r="E1899" s="2">
        <v>1</v>
      </c>
      <c r="F1899" s="2">
        <v>1</v>
      </c>
      <c r="H1899" s="2">
        <v>433</v>
      </c>
      <c r="I1899" s="2" t="inlineStr">
        <is>
          <t>$</t>
        </is>
      </c>
      <c r="J1899" s="2">
        <f>HYPERLINK("https://app.astro.lead-studio.pro/product/d2963282-2e31-48ae-8aeb-72783ea393b9")</f>
      </c>
    </row>
    <row r="1900" spans="1:10" customHeight="0">
      <c r="A1900" s="2" t="inlineStr">
        <is>
          <t>Моноблоки (платформы)</t>
        </is>
      </c>
      <c r="B1900" s="2" t="inlineStr">
        <is>
          <t>Prittec</t>
        </is>
      </c>
      <c r="C1900" s="2" t="inlineStr">
        <is>
          <t>A27 Asus H510 FHD</t>
        </is>
      </c>
      <c r="D1900" s="2" t="inlineStr">
        <is>
          <t>Платформа AIO Prittec Платформа-моноблок Prittec A27-FHD ZBD Panel/ASUS H510 MB/Side IO with Type C+ USB 3 + Combo Audio/Intel 3165 AC WiFi/2M Camera/120W Adaptor/Regular Stand</t>
        </is>
      </c>
      <c r="E1900" s="2">
        <v>36</v>
      </c>
      <c r="F1900" s="2">
        <v>36</v>
      </c>
      <c r="H1900" s="2">
        <v>407</v>
      </c>
      <c r="I1900" s="2" t="inlineStr">
        <is>
          <t>$</t>
        </is>
      </c>
      <c r="J1900" s="2">
        <f>HYPERLINK("https://app.astro.lead-studio.pro/product/fd2e74a5-ed05-45db-9d3c-38008abcc690")</f>
      </c>
    </row>
    <row r="1901" spans="1:10" customHeight="0">
      <c r="A1901" s="2" t="inlineStr">
        <is>
          <t>Моноблоки (платформы)</t>
        </is>
      </c>
      <c r="B1901" s="2" t="inlineStr">
        <is>
          <t>Prittec</t>
        </is>
      </c>
      <c r="C1901" s="2" t="inlineStr">
        <is>
          <t>A27-ASUS H610 2K</t>
        </is>
      </c>
      <c r="D1901" s="2" t="inlineStr">
        <is>
          <t>Платформа моноблока Prittec A27 MB Asus H610 QHD(2K),no SSD and RAM, wifi, bt. black, pop-up camera 5MP, USB 3 + Type C +SD/120W Adaptor</t>
        </is>
      </c>
      <c r="E1901" s="2">
        <v>100</v>
      </c>
      <c r="F1901" s="2">
        <v>100</v>
      </c>
      <c r="H1901" s="2">
        <v>497</v>
      </c>
      <c r="I1901" s="2" t="inlineStr">
        <is>
          <t>$</t>
        </is>
      </c>
      <c r="J1901" s="2">
        <f>HYPERLINK("https://app.astro.lead-studio.pro/product/ffc3517e-cfa5-4527-b039-6ac43c9063bf")</f>
      </c>
    </row>
    <row r="1902" spans="1:10" customHeight="0">
      <c r="A1902" s="2" t="inlineStr">
        <is>
          <t>Моноблоки (платформы)</t>
        </is>
      </c>
      <c r="B1902" s="2" t="inlineStr">
        <is>
          <t>Prittec</t>
        </is>
      </c>
      <c r="C1902" s="2" t="inlineStr">
        <is>
          <t>A27 WB H610</t>
        </is>
      </c>
      <c r="D1902" s="2" t="inlineStr">
        <is>
          <t>Платформа AIO Prittec Платформа-моноблок Prittec A27- WB H610/Full HD 27” ZBD Panel/Intel 3165 WiFi AC+BT/150W Adaptor/1 x USB 3.0+ 1 x Tupe C + 1 x Combo Audio at Side IO/ Full Copper Thermal/2M Full HD Camera with Dual MIC/Regular Stand/no battery on MB</t>
        </is>
      </c>
      <c r="E1902" s="2">
        <v>66</v>
      </c>
      <c r="F1902" s="2">
        <v>66</v>
      </c>
      <c r="H1902" s="2">
        <v>423</v>
      </c>
      <c r="I1902" s="2" t="inlineStr">
        <is>
          <t>$</t>
        </is>
      </c>
      <c r="J1902" s="2">
        <f>HYPERLINK("https://app.astro.lead-studio.pro/product/6d6ed488-9455-444a-8a08-4b688e482116")</f>
      </c>
    </row>
    <row r="1903" spans="1:10" customHeight="0">
      <c r="A1903" s="2" t="inlineStr">
        <is>
          <t>Моноблоки (платформы)</t>
        </is>
      </c>
      <c r="B1903" s="2" t="inlineStr">
        <is>
          <t>Prittec</t>
        </is>
      </c>
      <c r="C1903" s="2" t="inlineStr">
        <is>
          <t>N27 TH610W</t>
        </is>
      </c>
      <c r="D1903" s="2" t="inlineStr">
        <is>
          <t>Платформа моноблока Prittec N27 L6 MB TH610W /27" FHD IPS/Intel 9560/bt/5MP camera/150W Adaptor/Adjustable Stand/2x 5W speaker/fan/ HDMI+DP+Type C</t>
        </is>
      </c>
      <c r="E1903" s="2">
        <v>100</v>
      </c>
      <c r="F1903" s="2">
        <v>100</v>
      </c>
      <c r="H1903" s="2">
        <v>353</v>
      </c>
      <c r="I1903" s="2" t="inlineStr">
        <is>
          <t>$</t>
        </is>
      </c>
      <c r="J1903" s="2">
        <f>HYPERLINK("https://app.astro.lead-studio.pro/product/2d6ceb62-e30e-46bd-8714-6d5b713d04e2")</f>
      </c>
    </row>
    <row r="1904" spans="1:10" customHeight="0">
      <c r="A1904" s="2" t="inlineStr">
        <is>
          <t>Моноблоки (платформы)</t>
        </is>
      </c>
      <c r="B1904" s="2" t="inlineStr">
        <is>
          <t>Prittec</t>
        </is>
      </c>
      <c r="C1904" s="2" t="inlineStr">
        <is>
          <t>R24 ASUS H610 Touch</t>
        </is>
      </c>
      <c r="D1904" s="2" t="inlineStr">
        <is>
          <t>Платформа моноблока Prittec R24 Touch  ASUS H610 MB /23.8"/ FHD IPS /wifi/bt/2MP/120W Adaptor/silver</t>
        </is>
      </c>
      <c r="E1904" s="2">
        <v>100</v>
      </c>
      <c r="F1904" s="2">
        <v>100</v>
      </c>
      <c r="H1904" s="2">
        <v>335</v>
      </c>
      <c r="I1904" s="2" t="inlineStr">
        <is>
          <t>$</t>
        </is>
      </c>
      <c r="J1904" s="2">
        <f>HYPERLINK("https://app.astro.lead-studio.pro/product/9e8fa112-a6d6-4dff-8874-d79bb56d9157")</f>
      </c>
    </row>
    <row r="1905" spans="1:10" customHeight="0">
      <c r="A1905" s="2" t="inlineStr">
        <is>
          <t>Неттопы</t>
        </is>
      </c>
      <c r="B1905" s="2" t="inlineStr">
        <is>
          <t>Shuttle</t>
        </is>
      </c>
      <c r="C1905" s="2" t="inlineStr">
        <is>
          <t>74R-BPCAL02-002-SHU-002</t>
        </is>
      </c>
      <c r="D1905" s="2" t="inlineStr">
        <is>
          <t>Коммерческий компьютер Shuttle BPCAL02 ,i5-1235U, DDR5-4800, 150W external adapter, 2 x RJ-45, 3 x RS 232</t>
        </is>
      </c>
      <c r="E1905" s="2">
        <v>4</v>
      </c>
      <c r="F1905" s="2">
        <v>4</v>
      </c>
      <c r="H1905" s="2">
        <v>1050</v>
      </c>
      <c r="I1905" s="2" t="inlineStr">
        <is>
          <t>$</t>
        </is>
      </c>
      <c r="J1905" s="2">
        <f>HYPERLINK("https://app.astro.lead-studio.pro/product/0a4aa68f-ee00-4f15-b545-b00b229b26a3")</f>
      </c>
    </row>
    <row r="1906" spans="1:10" customHeight="0">
      <c r="A1906" s="2" t="inlineStr">
        <is>
          <t>Неттопы</t>
        </is>
      </c>
      <c r="B1906" s="2" t="inlineStr">
        <is>
          <t>Shuttle</t>
        </is>
      </c>
      <c r="C1906" s="2" t="inlineStr">
        <is>
          <t>74R-DH32U-016-SHU-001</t>
        </is>
      </c>
      <c r="D1906" s="2" t="inlineStr">
        <is>
          <t>Платформа системного блока с ЦПУ Shuttle DH32U SHU-DH32U-(MOTHERBOARD_V.2.X (Pentium 7505)-NPI,BLACK-90W3P,W/O HDD), W/O EDID/ ALC662/ALC888 ,Genesys (004440) {4}</t>
        </is>
      </c>
      <c r="E1906" s="2">
        <v>10</v>
      </c>
      <c r="F1906" s="2">
        <v>10</v>
      </c>
      <c r="H1906" s="2">
        <v>511</v>
      </c>
      <c r="I1906" s="2" t="inlineStr">
        <is>
          <t>$</t>
        </is>
      </c>
      <c r="J1906" s="2">
        <f>HYPERLINK("https://app.astro.lead-studio.pro/product/5e70e4ff-37e0-4529-b9c3-812018d09bb6")</f>
      </c>
    </row>
    <row r="1907" spans="1:10" customHeight="0">
      <c r="A1907" s="2" t="inlineStr">
        <is>
          <t>Неттопы</t>
        </is>
      </c>
      <c r="B1907" s="2" t="inlineStr">
        <is>
          <t>Shuttle</t>
        </is>
      </c>
      <c r="C1907" s="2" t="inlineStr">
        <is>
          <t>74R-DH32U-017-SHU-001</t>
        </is>
      </c>
      <c r="D1907" s="2" t="inlineStr">
        <is>
          <t>Платформа системного блока с ЦПУ Shuttle DH32U3 SHU-DH32U-(MOTHERBOARD_V.2.X (i3-1115G4)-NPI,BLACK-90W3P,W/O HDD), W/O EDID/ ALC662/ALC888 ,Genesys (004457) {4}</t>
        </is>
      </c>
      <c r="E1907" s="2">
        <v>10</v>
      </c>
      <c r="F1907" s="2">
        <v>10</v>
      </c>
      <c r="H1907" s="2">
        <v>658</v>
      </c>
      <c r="I1907" s="2" t="inlineStr">
        <is>
          <t>$</t>
        </is>
      </c>
      <c r="J1907" s="2">
        <f>HYPERLINK("https://app.astro.lead-studio.pro/product/e74bd487-5223-42b3-a3e8-48021e47a755")</f>
      </c>
    </row>
    <row r="1908" spans="1:10" customHeight="0">
      <c r="A1908" s="2" t="inlineStr">
        <is>
          <t>Неттопы</t>
        </is>
      </c>
      <c r="B1908" s="2" t="inlineStr">
        <is>
          <t>Shuttle</t>
        </is>
      </c>
      <c r="C1908" s="2" t="inlineStr">
        <is>
          <t>74R-DH670-003-SCT-003</t>
        </is>
      </c>
      <c r="D1908" s="2" t="inlineStr">
        <is>
          <t>Платформа системного блока Shuttle «DH670 «1.3L, Alder lake-s Pentium/Celeron/Core 65 Вт LGA1700, 2 x DDR4 3200MHz (max 64Gb), HDMI 2. x 2+ DisplayPort x 2, Quad video outputs,4K playback, M.2 PCIE 2230 E key/2280/2260/2242 M key, USB3.2 gen 2*4/USB3.2gen1*4/Intel i211 Gigabit Lan*2/RS232</t>
        </is>
      </c>
      <c r="E1908" s="2">
        <v>14</v>
      </c>
      <c r="F1908" s="2">
        <v>14</v>
      </c>
      <c r="H1908" s="2">
        <v>412</v>
      </c>
      <c r="I1908" s="2" t="inlineStr">
        <is>
          <t>$</t>
        </is>
      </c>
      <c r="J1908" s="2">
        <f>HYPERLINK("https://app.astro.lead-studio.pro/product/73b78c29-cf14-4fca-9d5a-f4a00ed9b5a6")</f>
      </c>
    </row>
    <row r="1909" spans="1:10" customHeight="0">
      <c r="A1909" s="2" t="inlineStr">
        <is>
          <t>Неттопы</t>
        </is>
      </c>
      <c r="B1909" s="2" t="inlineStr">
        <is>
          <t>Shuttle</t>
        </is>
      </c>
      <c r="C1909" s="2" t="inlineStr">
        <is>
          <t>74R-DL20N-018-SCT-001</t>
        </is>
      </c>
      <c r="D1909" s="2" t="inlineStr">
        <is>
          <t>Платформа системного блока с ЦПУ Shuttle DL20N6 Intel Pentium N6005 Fanless Support 1080P FHD /HDMI+DP+D-sub, Sup 3Xdisplay w/o wifi Pentium N6005 Fanless Support 1080P FHD /HDMI+DP+D-sub, Sup 3Xdisplay/2xDDR4L 2933 Mhz SODIMM Max 32GB/ 10/100/1000 Ethernet,1 x Intel® 2.5G LAN,802.11 b/g/n/ac WLAN /2xCOM/SD card reader, 40W adapter RTL, w/o wifi</t>
        </is>
      </c>
      <c r="E1909" s="2">
        <v>2</v>
      </c>
      <c r="F1909" s="2">
        <v>2</v>
      </c>
      <c r="H1909" s="2">
        <v>379</v>
      </c>
      <c r="I1909" s="2" t="inlineStr">
        <is>
          <t>$</t>
        </is>
      </c>
      <c r="J1909" s="2">
        <f>HYPERLINK("https://app.astro.lead-studio.pro/product/efbc94ff-ba89-4197-8213-cfb0451ef045")</f>
      </c>
    </row>
    <row r="1910" spans="1:10" customHeight="0">
      <c r="A1910" s="2" t="inlineStr">
        <is>
          <t>Неттопы</t>
        </is>
      </c>
      <c r="B1910" s="2" t="inlineStr">
        <is>
          <t>Shuttle</t>
        </is>
      </c>
      <c r="C1910" s="2" t="inlineStr">
        <is>
          <t>74R-DS20U-004-SHU-001</t>
        </is>
      </c>
      <c r="D1910" s="2" t="inlineStr">
        <is>
          <t>Платформа системного блока с ЦПУ Shuttle DS20U Intel Celeron 5205U Fanless Support 1080P FHD /2xHDMI+DP/2xDDR4L 2400 Mhz SODIMM Max 32GB/ 2хGLan, 802.11 b/g/n WLAN /COM/SD card reader, 65W adapter, VESA RTL {4} (003900)</t>
        </is>
      </c>
      <c r="E1910" s="2">
        <v>1</v>
      </c>
      <c r="F1910" s="2">
        <v>1</v>
      </c>
      <c r="H1910" s="2">
        <v>415</v>
      </c>
      <c r="I1910" s="2" t="inlineStr">
        <is>
          <t>$</t>
        </is>
      </c>
      <c r="J1910" s="2">
        <f>HYPERLINK("https://app.astro.lead-studio.pro/product/50a19f49-f482-4f9d-b768-949902814adb")</f>
      </c>
    </row>
    <row r="1911" spans="1:10" customHeight="0">
      <c r="A1911" s="2" t="inlineStr">
        <is>
          <t>Неттопы</t>
        </is>
      </c>
      <c r="B1911" s="2" t="inlineStr">
        <is>
          <t>Shuttle</t>
        </is>
      </c>
      <c r="C1911" s="2" t="inlineStr">
        <is>
          <t>74R-DS50U-005-SHU-001</t>
        </is>
      </c>
      <c r="D1911" s="2" t="inlineStr">
        <is>
          <t>Платформа системного блока с ЦПУ Shuttle DS50U5 Intel i5-1335U, Fanless Support 3 displays, 2xDDR5 SODIMM,(1)HDMI 2.0b+(1)DisplayPort 1.4+VGA,WLAN optional, 90W power adapter,VESA.</t>
        </is>
      </c>
      <c r="E1911" s="2">
        <v>10</v>
      </c>
      <c r="F1911" s="2">
        <v>10</v>
      </c>
      <c r="H1911" s="2">
        <v>802</v>
      </c>
      <c r="I1911" s="2" t="inlineStr">
        <is>
          <t>$</t>
        </is>
      </c>
      <c r="J1911" s="2">
        <f>HYPERLINK("https://app.astro.lead-studio.pro/product/f0d33d20-8467-418c-9c0f-17c2ddb37c2d")</f>
      </c>
    </row>
    <row r="1912" spans="1:10" customHeight="0">
      <c r="A1912" s="2" t="inlineStr">
        <is>
          <t>Неттопы</t>
        </is>
      </c>
      <c r="B1912" s="2" t="inlineStr">
        <is>
          <t>ASRock</t>
        </is>
      </c>
      <c r="C1912" s="2" t="inlineStr">
        <is>
          <t>90BSA1701-A10GA0F</t>
        </is>
      </c>
      <c r="D1912" s="2" t="inlineStr">
        <is>
          <t>MARS/1235U/3L/L6 Intel Core i5-1235U, 2xSO-DIMM DDR4,max 64GB, no SSD, wifi,bt</t>
        </is>
      </c>
      <c r="E1912" s="2">
        <v>10</v>
      </c>
      <c r="F1912" s="2">
        <v>10</v>
      </c>
      <c r="H1912" s="2">
        <v>521</v>
      </c>
      <c r="I1912" s="2" t="inlineStr">
        <is>
          <t>$</t>
        </is>
      </c>
      <c r="J1912" s="2">
        <f>HYPERLINK("https://app.astro.lead-studio.pro/product/4b374a38-b5a8-478a-beb5-c23b8956ce7b")</f>
      </c>
    </row>
    <row r="1913" spans="1:10" customHeight="0">
      <c r="A1913" s="2" t="inlineStr">
        <is>
          <t>Неттопы</t>
        </is>
      </c>
      <c r="B1913" s="2" t="inlineStr">
        <is>
          <t>Shuttle</t>
        </is>
      </c>
      <c r="C1913" s="2" t="inlineStr">
        <is>
          <t>BPCAL03-i5UE</t>
        </is>
      </c>
      <c r="D1913" s="2" t="inlineStr">
        <is>
          <t>Промышленный компьютер Shuttle BPCAL03 ,  i5-1245UE, DDR5-4800, 150W external adapter, 2 x RJ-45, 3 x RS 232</t>
        </is>
      </c>
      <c r="E1913" s="2">
        <v>1</v>
      </c>
      <c r="F1913" s="2">
        <v>1</v>
      </c>
      <c r="H1913" s="2">
        <v>1440</v>
      </c>
      <c r="I1913" s="2" t="inlineStr">
        <is>
          <t>$</t>
        </is>
      </c>
      <c r="J1913" s="2">
        <f>HYPERLINK("https://app.astro.lead-studio.pro/product/b5a655f3-c335-4252-abbb-c2d4a7cc64c3")</f>
      </c>
    </row>
    <row r="1914" spans="1:10" customHeight="0">
      <c r="A1914" s="2" t="inlineStr">
        <is>
          <t>Неттопы</t>
        </is>
      </c>
      <c r="B1914" s="2" t="inlineStr">
        <is>
          <t>Beelink</t>
        </is>
      </c>
      <c r="C1914" s="2" t="inlineStr">
        <is>
          <t>EQi12</t>
        </is>
      </c>
      <c r="D1914" s="2" t="inlineStr">
        <is>
          <t>Мини-компьютер BL/EQi12-LP/12450H/24G/500G/Milky Grey</t>
        </is>
      </c>
      <c r="E1914" s="2">
        <v>11</v>
      </c>
      <c r="F1914" s="2">
        <v>11</v>
      </c>
      <c r="H1914" s="2">
        <v>450</v>
      </c>
      <c r="I1914" s="2" t="inlineStr">
        <is>
          <t>$</t>
        </is>
      </c>
      <c r="J1914" s="2">
        <f>HYPERLINK("https://app.astro.lead-studio.pro/product/6583665a-6de0-49fe-b216-882cd9e1516e")</f>
      </c>
    </row>
    <row r="1915" spans="1:10" customHeight="0">
      <c r="A1915" s="2" t="inlineStr">
        <is>
          <t>Неттопы</t>
        </is>
      </c>
      <c r="B1915" s="2" t="inlineStr">
        <is>
          <t>Beelink</t>
        </is>
      </c>
      <c r="C1915" s="2" t="inlineStr">
        <is>
          <t>EQR5</t>
        </is>
      </c>
      <c r="D1915" s="2" t="inlineStr">
        <is>
          <t>Мини-ПК Beelink EQR5 AMD Ryzen 7 5825U 8-ядерный, 16-потоковый, 4.5 ГГц, 16Гб 500Гб SSD, серый</t>
        </is>
      </c>
      <c r="E1915" s="2">
        <v>8</v>
      </c>
      <c r="F1915" s="2">
        <v>8</v>
      </c>
      <c r="H1915" s="2">
        <v>407</v>
      </c>
      <c r="I1915" s="2" t="inlineStr">
        <is>
          <t>$</t>
        </is>
      </c>
      <c r="J1915" s="2">
        <f>HYPERLINK("https://app.astro.lead-studio.pro/product/fb58b135-64f9-421f-a4bf-332319e24411")</f>
      </c>
    </row>
    <row r="1916" spans="1:10" customHeight="0">
      <c r="A1916" s="2" t="inlineStr">
        <is>
          <t>Неттопы</t>
        </is>
      </c>
      <c r="B1916" s="2" t="inlineStr">
        <is>
          <t>Beelink</t>
        </is>
      </c>
      <c r="C1916" s="2" t="inlineStr">
        <is>
          <t>EQR6</t>
        </is>
      </c>
      <c r="D1916" s="2" t="inlineStr">
        <is>
          <t>Мини-компьютер BL/EQR6-D5/6900HX/24G/500G/Milky Grey </t>
        </is>
      </c>
      <c r="E1916" s="2">
        <v>10</v>
      </c>
      <c r="F1916" s="2">
        <v>10</v>
      </c>
      <c r="H1916" s="2">
        <v>500</v>
      </c>
      <c r="I1916" s="2" t="inlineStr">
        <is>
          <t>$</t>
        </is>
      </c>
      <c r="J1916" s="2">
        <f>HYPERLINK("https://app.astro.lead-studio.pro/product/4d355c9f-91b7-4462-b0a6-4f55ebf00f07")</f>
      </c>
    </row>
    <row r="1917" spans="1:10" customHeight="0">
      <c r="A1917" s="2" t="inlineStr">
        <is>
          <t>Неттопы</t>
        </is>
      </c>
      <c r="B1917" s="2" t="inlineStr">
        <is>
          <t>Prittec</t>
        </is>
      </c>
      <c r="C1917" s="2" t="inlineStr">
        <is>
          <t>F8 i5-12450H</t>
        </is>
      </c>
      <c r="D1917" s="2" t="inlineStr">
        <is>
          <t>ини-ПК Prittec F8 i5-12450H,2 x DDR4 SODIMM max 64GB,1x M.2 2280, AX201,100W Adaptor,no OS,VESA</t>
        </is>
      </c>
      <c r="E1917" s="2">
        <v>13</v>
      </c>
      <c r="F1917" s="2">
        <v>13</v>
      </c>
      <c r="H1917" s="2">
        <v>351</v>
      </c>
      <c r="I1917" s="2" t="inlineStr">
        <is>
          <t>$</t>
        </is>
      </c>
      <c r="J1917" s="2">
        <f>HYPERLINK("https://app.astro.lead-studio.pro/product/eec29dd5-f2f1-4fbd-b364-1ba8bc55809d")</f>
      </c>
    </row>
    <row r="1918" spans="1:10" customHeight="0">
      <c r="A1918" s="2" t="inlineStr">
        <is>
          <t>Неттопы</t>
        </is>
      </c>
      <c r="B1918" s="2" t="inlineStr">
        <is>
          <t>Prittec</t>
        </is>
      </c>
      <c r="C1918" s="2" t="inlineStr">
        <is>
          <t>F8 i7-12650H</t>
        </is>
      </c>
      <c r="D1918" s="2" t="inlineStr">
        <is>
          <t>Мини-ПК Prittec F8 i7-12650H,2 x DDR4 SODIMM max 64GB,1x M.2 2280, AX201,100W Adaptor,no OS,VESA</t>
        </is>
      </c>
      <c r="E1918" s="2">
        <v>100</v>
      </c>
      <c r="F1918" s="2">
        <v>100</v>
      </c>
      <c r="H1918" s="2">
        <v>382</v>
      </c>
      <c r="I1918" s="2" t="inlineStr">
        <is>
          <t>$</t>
        </is>
      </c>
      <c r="J1918" s="2">
        <f>HYPERLINK("https://app.astro.lead-studio.pro/product/d8b97845-2b91-4e82-a35e-773038ae78aa")</f>
      </c>
    </row>
    <row r="1919" spans="1:10" customHeight="0">
      <c r="A1919" s="2" t="inlineStr">
        <is>
          <t>Неттопы</t>
        </is>
      </c>
      <c r="B1919" s="2" t="inlineStr">
        <is>
          <t>XSK</t>
        </is>
      </c>
      <c r="C1919" s="2" t="inlineStr">
        <is>
          <t>NANO-N1321</t>
        </is>
      </c>
      <c r="D1919" s="2" t="inlineStr">
        <is>
          <t>Мини-компьютер IWILL NANO-N1321 </t>
        </is>
      </c>
      <c r="E1919" s="2">
        <v>1</v>
      </c>
      <c r="F1919" s="2">
        <v>1</v>
      </c>
      <c r="H1919" s="2">
        <v>349</v>
      </c>
      <c r="I1919" s="2" t="inlineStr">
        <is>
          <t>$</t>
        </is>
      </c>
      <c r="J1919" s="2">
        <f>HYPERLINK("https://app.astro.lead-studio.pro/product/92c229b9-3102-40a0-b960-5e9c7d3fd8c0")</f>
      </c>
    </row>
    <row r="1920" spans="1:10" customHeight="0">
      <c r="A1920" s="2" t="inlineStr">
        <is>
          <t>Неттопы</t>
        </is>
      </c>
      <c r="B1920" s="2" t="inlineStr">
        <is>
          <t>XSK</t>
        </is>
      </c>
      <c r="C1920" s="2" t="inlineStr">
        <is>
          <t>NANO-N3322</t>
        </is>
      </c>
      <c r="D1920" s="2" t="inlineStr">
        <is>
          <t>Мини-компьютер IWILL NANO-N3322-I5-Fanless </t>
        </is>
      </c>
      <c r="E1920" s="2">
        <v>1</v>
      </c>
      <c r="F1920" s="2">
        <v>1</v>
      </c>
      <c r="H1920" s="2">
        <v>603</v>
      </c>
      <c r="I1920" s="2" t="inlineStr">
        <is>
          <t>$</t>
        </is>
      </c>
      <c r="J1920" s="2">
        <f>HYPERLINK("https://app.astro.lead-studio.pro/product/e537292e-954e-43b0-b986-7a95d01e5a3e")</f>
      </c>
    </row>
    <row r="1921" spans="1:10" customHeight="0">
      <c r="A1921" s="2" t="inlineStr">
        <is>
          <t>Неттопы</t>
        </is>
      </c>
      <c r="B1921" s="2" t="inlineStr">
        <is>
          <t>Shuttle</t>
        </is>
      </c>
      <c r="C1921" s="2" t="inlineStr">
        <is>
          <t>XH510G</t>
        </is>
      </c>
      <c r="D1921" s="2" t="inlineStr">
        <is>
          <t>Платформа системного блока Shuttle XH510G 3L Support Rocket Lake-S LGA1200 65W CPU, 2 x DDR4, Max 64GB, HDMI + DP port dual display, «2.5» HDD / SSD bay, XPC DVD Driver, M.2 2280 Type M,M.2 2230 Type A,E,PCI-E X16, 4xUSB 2.0, 4xUSB 3.2, DP,RJ45, 180W adapter, VESA (XH510G) (005041)»</t>
        </is>
      </c>
      <c r="E1921" s="2">
        <v>51</v>
      </c>
      <c r="F1921" s="2">
        <v>51</v>
      </c>
      <c r="H1921" s="2">
        <v>449</v>
      </c>
      <c r="I1921" s="2" t="inlineStr">
        <is>
          <t>$</t>
        </is>
      </c>
      <c r="J1921" s="2">
        <f>HYPERLINK("https://app.astro.lead-studio.pro/product/741d17ef-4395-485d-9abc-27f894bfe7d2")</f>
      </c>
    </row>
    <row r="1922" spans="1:10" customHeight="0">
      <c r="A1922" s="2" t="inlineStr">
        <is>
          <t>Коммуникационное оборудование</t>
        </is>
      </c>
      <c r="B1922" s="2" t="inlineStr">
        <is>
          <t>Advantech</t>
        </is>
      </c>
      <c r="C1922" s="2" t="inlineStr">
        <is>
          <t>ADAM-4117-B</t>
        </is>
      </c>
      <c r="D1922" s="2" t="inlineStr">
        <is>
          <t>Модуль интерфейсный Advantech ADAM-4117-B   Модуль ввода, 8 каналов аналогового ввода, Modbus RTU/ASCII</t>
        </is>
      </c>
      <c r="E1922" s="2">
        <v>1</v>
      </c>
      <c r="F1922" s="2">
        <v>1</v>
      </c>
      <c r="H1922" s="2">
        <v>426</v>
      </c>
      <c r="I1922" s="2" t="inlineStr">
        <is>
          <t>$</t>
        </is>
      </c>
      <c r="J1922" s="2">
        <f>HYPERLINK("https://app.astro.lead-studio.pro/product/0214f431-b607-40fa-88d4-bc5b0f1d1f6f")</f>
      </c>
    </row>
    <row r="1923" spans="1:10" customHeight="0">
      <c r="A1923" s="2" t="inlineStr">
        <is>
          <t>Коммуникационное оборудование</t>
        </is>
      </c>
      <c r="B1923" s="2" t="inlineStr">
        <is>
          <t>Advantech</t>
        </is>
      </c>
      <c r="C1923" s="2" t="inlineStr">
        <is>
          <t>ADAM-4572-CE</t>
        </is>
      </c>
      <c r="D1923" s="2" t="inlineStr">
        <is>
          <t>Модуль интерфейсный Advantech ADAM-4572-CE   Модуль шлюза данных, 1 порт, Modbus TCP/RT</t>
        </is>
      </c>
      <c r="E1923" s="2">
        <v>2</v>
      </c>
      <c r="F1923" s="2">
        <v>2</v>
      </c>
      <c r="H1923" s="2">
        <v>469</v>
      </c>
      <c r="I1923" s="2" t="inlineStr">
        <is>
          <t>$</t>
        </is>
      </c>
      <c r="J1923" s="2">
        <f>HYPERLINK("https://app.astro.lead-studio.pro/product/9f677974-706e-44cb-89e6-0bd37390cd7c")</f>
      </c>
    </row>
    <row r="1924" spans="1:10" customHeight="0">
      <c r="A1924" s="2" t="inlineStr">
        <is>
          <t>Коммуникационное оборудование</t>
        </is>
      </c>
      <c r="B1924" s="2" t="inlineStr">
        <is>
          <t>Advantech</t>
        </is>
      </c>
      <c r="C1924" s="2" t="inlineStr">
        <is>
          <t>EKI-1522I-CE</t>
        </is>
      </c>
      <c r="D1924" s="2" t="inlineStr">
        <is>
          <t>Модуль интерфейсный Advantech EKI-1522I-CE Интерфейсный модуль 2 порта 10/100Base-T, 2 порта RS-232/422/485, -40...+75C Advantech</t>
        </is>
      </c>
      <c r="E1924" s="2">
        <v>1</v>
      </c>
      <c r="F1924" s="2">
        <v>1</v>
      </c>
      <c r="H1924" s="2">
        <v>332</v>
      </c>
      <c r="I1924" s="2" t="inlineStr">
        <is>
          <t>$</t>
        </is>
      </c>
      <c r="J1924" s="2">
        <f>HYPERLINK("https://app.astro.lead-studio.pro/product/a786bcce-b5c3-4a4d-bb16-b23a7fadeb41")</f>
      </c>
    </row>
    <row r="1925" spans="1:10" customHeight="0">
      <c r="A1925" s="2" t="inlineStr">
        <is>
          <t>Коммуникационное оборудование</t>
        </is>
      </c>
      <c r="B1925" s="2" t="inlineStr">
        <is>
          <t>Advantech</t>
        </is>
      </c>
      <c r="C1925" s="2" t="inlineStr">
        <is>
          <t>EKI-7712E-4F-AE</t>
        </is>
      </c>
      <c r="D1925" s="2" t="inlineStr">
        <is>
          <t>Коммутатор Advantech Управляемый коммутатор EKI-7712E-4F-AE Advantech Ethernet, 8 портов RJ-45, 4 порта Gigabit SFP, металлический корпус, IP30</t>
        </is>
      </c>
      <c r="E1925" s="2">
        <v>1</v>
      </c>
      <c r="F1925" s="2">
        <v>1</v>
      </c>
      <c r="H1925" s="2">
        <v>1552</v>
      </c>
      <c r="I1925" s="2" t="inlineStr">
        <is>
          <t>$</t>
        </is>
      </c>
      <c r="J1925" s="2">
        <f>HYPERLINK("https://app.astro.lead-studio.pro/product/bf3c7b73-529a-4a96-93c5-ed71eea6309b")</f>
      </c>
    </row>
    <row r="1926" spans="1:10" customHeight="0">
      <c r="A1926" s="2" t="inlineStr">
        <is>
          <t>Коммуникационное оборудование</t>
        </is>
      </c>
      <c r="B1926" s="2" t="inlineStr">
        <is>
          <t>Advantech</t>
        </is>
      </c>
      <c r="C1926" s="2" t="inlineStr">
        <is>
          <t>EKI-7712E-4F-AE||bp</t>
        </is>
      </c>
      <c r="D1926" s="2" t="inlineStr">
        <is>
          <t>Коммутатор Advantech BP Управляемый коммутатор EKI-7712E-4F-AE Advantech Ethernet, 8 портов RJ-45, 4 порта Gigabit SFP, металлический корпус, IP30</t>
        </is>
      </c>
      <c r="E1926" s="2">
        <v>1</v>
      </c>
      <c r="F1926" s="2">
        <v>1</v>
      </c>
      <c r="H1926" s="2">
        <v>1673</v>
      </c>
      <c r="I1926" s="2" t="inlineStr">
        <is>
          <t>$</t>
        </is>
      </c>
      <c r="J1926" s="2">
        <f>HYPERLINK("https://app.astro.lead-studio.pro/product/5fbc59e3-3bc8-4ca3-a4dc-2809ad94436a")</f>
      </c>
    </row>
    <row r="1927" spans="1:10" customHeight="0">
      <c r="A1927" s="2" t="inlineStr">
        <is>
          <t>Комплектующие  для ПромПК</t>
        </is>
      </c>
      <c r="B1927" s="2" t="inlineStr">
        <is>
          <t>Advantech</t>
        </is>
      </c>
      <c r="C1927" s="2" t="inlineStr">
        <is>
          <t>ACP-2020MB-50RE</t>
        </is>
      </c>
      <c r="D1927" s="2" t="inlineStr">
        <is>
          <t>Корпус Advantech ACP-2020MB-50RE 2U Rackmount Chassis, ATX/mATX, отсеки: 2*2.5", 1x80mm fan, Размер (ШВГ) 482x88x398mm, PSU 500W ATX 80 Plus Bronze 1+1 Redundant</t>
        </is>
      </c>
      <c r="E1927" s="2">
        <v>1</v>
      </c>
      <c r="F1927" s="2">
        <v>1</v>
      </c>
      <c r="H1927" s="2">
        <v>1011</v>
      </c>
      <c r="I1927" s="2" t="inlineStr">
        <is>
          <t>$</t>
        </is>
      </c>
      <c r="J1927" s="2">
        <f>HYPERLINK("https://app.astro.lead-studio.pro/product/ba6bb142-6c5c-46b5-8c3e-19dd5740eca3")</f>
      </c>
    </row>
    <row r="1928" spans="1:10" customHeight="0">
      <c r="A1928" s="2" t="inlineStr">
        <is>
          <t>Комплектующие  для ПромПК</t>
        </is>
      </c>
      <c r="B1928" s="2" t="inlineStr">
        <is>
          <t>Advantech</t>
        </is>
      </c>
      <c r="C1928" s="2" t="inlineStr">
        <is>
          <t>ACP-4320BP-00C</t>
        </is>
      </c>
      <c r="D1928" s="2" t="inlineStr">
        <is>
          <t>Корпус Advantech ACP-4320BP-00C 4U Rackmount Chassis, for PICMG Motherboard, Отсеки: 3*(3.5" или 2.5") ext + 2*5.2 ext, Размер (ШВГ): 482x177x479mm, без блока питания</t>
        </is>
      </c>
      <c r="E1928" s="2">
        <v>5</v>
      </c>
      <c r="F1928" s="2">
        <v>5</v>
      </c>
      <c r="H1928" s="2">
        <v>577</v>
      </c>
      <c r="I1928" s="2" t="inlineStr">
        <is>
          <t>$</t>
        </is>
      </c>
      <c r="J1928" s="2">
        <f>HYPERLINK("https://app.astro.lead-studio.pro/product/81b0b37c-84a3-4328-a226-c90f57ee6625")</f>
      </c>
    </row>
    <row r="1929" spans="1:10" customHeight="0">
      <c r="A1929" s="2" t="inlineStr">
        <is>
          <t>Комплектующие  для ПромПК</t>
        </is>
      </c>
      <c r="B1929" s="2" t="inlineStr">
        <is>
          <t>Advantech</t>
        </is>
      </c>
      <c r="C1929" s="2" t="inlineStr">
        <is>
          <t>HPC-7242MB-00XE</t>
        </is>
      </c>
      <c r="D1929" s="2" t="inlineStr">
        <is>
          <t>Корпус Advantech HPC-7242MB-00XE 2U Rackmount Chassis, ATX, Drive bays: 4*3.5"/2.5" SATA/SAS12G hotswap (4xNVMe support), 1 x 5.25 Slim ODD, 1x80mm fan, 2x60mm fan, Depth:525mm, w/o PSU Advantech</t>
        </is>
      </c>
      <c r="E1929" s="2">
        <v>1</v>
      </c>
      <c r="F1929" s="2">
        <v>1</v>
      </c>
      <c r="H1929" s="2">
        <v>785</v>
      </c>
      <c r="I1929" s="2" t="inlineStr">
        <is>
          <t>$</t>
        </is>
      </c>
      <c r="J1929" s="2">
        <f>HYPERLINK("https://app.astro.lead-studio.pro/product/87e4cfc6-2877-4695-b46d-08e2ae9b0990")</f>
      </c>
    </row>
    <row r="1930" spans="1:10" customHeight="0">
      <c r="A1930" s="2" t="inlineStr">
        <is>
          <t>Комплектующие  для ПромПК</t>
        </is>
      </c>
      <c r="B1930" s="2" t="inlineStr">
        <is>
          <t>Advantech</t>
        </is>
      </c>
      <c r="C1930" s="2" t="inlineStr">
        <is>
          <t>IPC-610BP-00HD</t>
        </is>
      </c>
      <c r="D1930" s="2" t="inlineStr">
        <is>
          <t>Корпус Advantech IPC-610BP-00HD Корпус 4U 15-Slot Rack-mount Chassis, w/o backplane, 2x 12cm/ 82 CFM ball-bearing system fans, w/o PSU Advantech</t>
        </is>
      </c>
      <c r="E1930" s="2">
        <v>3</v>
      </c>
      <c r="F1930" s="2">
        <v>3</v>
      </c>
      <c r="H1930" s="2">
        <v>422</v>
      </c>
      <c r="I1930" s="2" t="inlineStr">
        <is>
          <t>$</t>
        </is>
      </c>
      <c r="J1930" s="2">
        <f>HYPERLINK("https://app.astro.lead-studio.pro/product/09e6b1cd-0e12-4b0e-8c85-bf55a5a65fd5")</f>
      </c>
    </row>
    <row r="1931" spans="1:10" customHeight="0">
      <c r="A1931" s="2" t="inlineStr">
        <is>
          <t>Комплектующие  для ПромПК</t>
        </is>
      </c>
      <c r="B1931" s="2" t="inlineStr">
        <is>
          <t>Advantech</t>
        </is>
      </c>
      <c r="C1931" s="2" t="inlineStr">
        <is>
          <t>IPC-610BP-00LD</t>
        </is>
      </c>
      <c r="D1931" s="2" t="inlineStr">
        <is>
          <t>Корпус Advantech IPC-610BP-00LD Advantech Корпус 4U 15-Slot Rack-mount Chassis with Front-Accessible Fan, w/o backplane, w/o PSU</t>
        </is>
      </c>
      <c r="E1931" s="2">
        <v>10</v>
      </c>
      <c r="F1931" s="2">
        <v>10</v>
      </c>
      <c r="H1931" s="2">
        <v>331</v>
      </c>
      <c r="I1931" s="2" t="inlineStr">
        <is>
          <t>$</t>
        </is>
      </c>
      <c r="J1931" s="2">
        <f>HYPERLINK("https://app.astro.lead-studio.pro/product/c0ef8b44-6f41-4d3e-9fc8-83d0431c1b3d")</f>
      </c>
    </row>
    <row r="1932" spans="1:10" customHeight="0">
      <c r="A1932" s="2" t="inlineStr">
        <is>
          <t>Комплектующие  для ПромПК</t>
        </is>
      </c>
      <c r="B1932" s="2" t="inlineStr">
        <is>
          <t>Advantech</t>
        </is>
      </c>
      <c r="C1932" s="2" t="inlineStr">
        <is>
          <t>ACP-4320MB-00C</t>
        </is>
      </c>
      <c r="D1932" s="2" t="inlineStr">
        <is>
          <t>Корпус Advantech Rackmount Chassis ACP-4320MB-00C 4U , Отсеки: 4*(2*5.25" и 2*3,5"), Размер (ШВГ): 482x177x479mm, без блока питания Advantech Корпус промышленный 4U (19") для ATX материнской платы, отсеки 2xSAS/SATA HDD</t>
        </is>
      </c>
      <c r="E1932" s="2">
        <v>1</v>
      </c>
      <c r="F1932" s="2">
        <v>1</v>
      </c>
      <c r="H1932" s="2">
        <v>968</v>
      </c>
      <c r="I1932" s="2" t="inlineStr">
        <is>
          <t>$</t>
        </is>
      </c>
      <c r="J1932" s="2">
        <f>HYPERLINK("https://app.astro.lead-studio.pro/product/4c833c67-d110-4d41-be00-b3fdcbd555da")</f>
      </c>
    </row>
    <row r="1933" spans="1:10" customHeight="0">
      <c r="A1933" s="2" t="inlineStr">
        <is>
          <t>Комплектующие  для ПромПК</t>
        </is>
      </c>
      <c r="B1933" s="2" t="inlineStr">
        <is>
          <t>Advantech</t>
        </is>
      </c>
      <c r="C1933" s="2" t="inlineStr">
        <is>
          <t>IPC-603MB-35C</t>
        </is>
      </c>
      <c r="D1933" s="2" t="inlineStr">
        <is>
          <t>Корпус Advantech IPC-603MB-35C Корпус 2U 3-Slot Rackmount Chassis for ATX/MicroATX Motherboard with Front I/O Advantech</t>
        </is>
      </c>
      <c r="E1933" s="2">
        <v>1</v>
      </c>
      <c r="F1933" s="2">
        <v>1</v>
      </c>
      <c r="H1933" s="2">
        <v>369</v>
      </c>
      <c r="I1933" s="2" t="inlineStr">
        <is>
          <t>$</t>
        </is>
      </c>
      <c r="J1933" s="2">
        <f>HYPERLINK("https://app.astro.lead-studio.pro/product/df199e98-764e-4de6-a5e5-239c29090365")</f>
      </c>
    </row>
    <row r="1934" spans="1:10" customHeight="0">
      <c r="A1934" s="2" t="inlineStr">
        <is>
          <t>Комплектующие  для ПромПК</t>
        </is>
      </c>
      <c r="B1934" s="2" t="inlineStr">
        <is>
          <t>Advantech</t>
        </is>
      </c>
      <c r="C1934" s="2" t="inlineStr">
        <is>
          <t>IPC-610BP-50HD</t>
        </is>
      </c>
      <c r="D1934" s="2" t="inlineStr">
        <is>
          <t>Корпус Advantech 4U Rackmount Chassis ATX IPC-610BP-50HD 15 слотов, отсеки 3x5.25", 1x3.5", 2xUSB, 1xPS/ W/ PS8-500ATX-BB</t>
        </is>
      </c>
      <c r="E1934" s="2">
        <v>10</v>
      </c>
      <c r="F1934" s="2">
        <v>10</v>
      </c>
      <c r="H1934" s="2">
        <v>628</v>
      </c>
      <c r="I1934" s="2" t="inlineStr">
        <is>
          <t>$</t>
        </is>
      </c>
      <c r="J1934" s="2">
        <f>HYPERLINK("https://app.astro.lead-studio.pro/product/479e3294-fdd9-4293-8303-488b883283dc")</f>
      </c>
    </row>
    <row r="1935" spans="1:10" customHeight="0">
      <c r="A1935" s="2" t="inlineStr">
        <is>
          <t>Комплектующие  для ПромПК</t>
        </is>
      </c>
      <c r="B1935" s="2" t="inlineStr">
        <is>
          <t>Advantech</t>
        </is>
      </c>
      <c r="C1935" s="2" t="inlineStr">
        <is>
          <t>IPC-610MB-00HD||bp</t>
        </is>
      </c>
      <c r="D1935" s="2" t="inlineStr">
        <is>
          <t>Корпус Advantech Bad Pack IPC-610MB-00HD Корпус 4U  Rack-mount Chassis, 7 слотов расширения, Отсеки: 1х 3,5"ext, 3x 5.25"ext 2x 12cm/ 82 CFM ball-bearing system fans, w/o PSU Advantech</t>
        </is>
      </c>
      <c r="E1935" s="2">
        <v>1</v>
      </c>
      <c r="F1935" s="2">
        <v>1</v>
      </c>
      <c r="H1935" s="2">
        <v>452</v>
      </c>
      <c r="I1935" s="2" t="inlineStr">
        <is>
          <t>$</t>
        </is>
      </c>
      <c r="J1935" s="2">
        <f>HYPERLINK("https://app.astro.lead-studio.pro/product/28a3d0ec-e60e-4fc8-8b26-e904b278506b")</f>
      </c>
    </row>
    <row r="1936" spans="1:10" customHeight="0">
      <c r="A1936" s="2" t="inlineStr">
        <is>
          <t>Комплектующие  для ПромПК</t>
        </is>
      </c>
      <c r="B1936" s="2" t="inlineStr">
        <is>
          <t>Advantech</t>
        </is>
      </c>
      <c r="C1936" s="2" t="inlineStr">
        <is>
          <t>IPC-6806S-25F</t>
        </is>
      </c>
      <c r="D1936" s="2" t="inlineStr">
        <is>
          <t>Корпус Advantech IPC-6806S-25F, 6 слотов, 250W PSU, Отсеки:1*3.5"int, 1*3.5"ext</t>
        </is>
      </c>
      <c r="E1936" s="2">
        <v>3</v>
      </c>
      <c r="F1936" s="2">
        <v>3</v>
      </c>
      <c r="H1936" s="2">
        <v>338</v>
      </c>
      <c r="I1936" s="2" t="inlineStr">
        <is>
          <t>$</t>
        </is>
      </c>
      <c r="J1936" s="2">
        <f>HYPERLINK("https://app.astro.lead-studio.pro/product/cce0d67c-daaf-4106-a8fe-7fcca89b42b3")</f>
      </c>
    </row>
    <row r="1937" spans="1:10" customHeight="0">
      <c r="A1937" s="2" t="inlineStr">
        <is>
          <t>Комплектующие  для ПромПК</t>
        </is>
      </c>
      <c r="B1937" s="2" t="inlineStr">
        <is>
          <t>Advantech</t>
        </is>
      </c>
      <c r="C1937" s="2" t="inlineStr">
        <is>
          <t>IPC-7130-00B</t>
        </is>
      </c>
      <c r="D1937" s="2" t="inlineStr">
        <is>
          <t>Корпус Advantech IPC-7130-00B, без источника питания Advantech</t>
        </is>
      </c>
      <c r="E1937" s="2">
        <v>10</v>
      </c>
      <c r="F1937" s="2">
        <v>10</v>
      </c>
      <c r="H1937" s="2">
        <v>587</v>
      </c>
      <c r="I1937" s="2" t="inlineStr">
        <is>
          <t>$</t>
        </is>
      </c>
      <c r="J1937" s="2">
        <f>HYPERLINK("https://app.astro.lead-studio.pro/product/a657f921-f6e2-4191-b5f8-282dfb5c1e72")</f>
      </c>
    </row>
    <row r="1938" spans="1:10" customHeight="0">
      <c r="A1938" s="2" t="inlineStr">
        <is>
          <t>Комплектующие  для ПромПК</t>
        </is>
      </c>
      <c r="B1938" s="2" t="inlineStr">
        <is>
          <t>Advantech</t>
        </is>
      </c>
      <c r="C1938" s="2" t="inlineStr">
        <is>
          <t>IPC-7130-50B</t>
        </is>
      </c>
      <c r="D1938" s="2" t="inlineStr">
        <is>
          <t>Корпус Advantech IPC-7130-50B Корпус промышленного компьютера, 500W PSU</t>
        </is>
      </c>
      <c r="E1938" s="2">
        <v>4</v>
      </c>
      <c r="F1938" s="2">
        <v>4</v>
      </c>
      <c r="H1938" s="2">
        <v>753</v>
      </c>
      <c r="I1938" s="2" t="inlineStr">
        <is>
          <t>$</t>
        </is>
      </c>
      <c r="J1938" s="2">
        <f>HYPERLINK("https://app.astro.lead-studio.pro/product/2c386eae-d856-4ba3-991e-459c7a893bc5")</f>
      </c>
    </row>
    <row r="1939" spans="1:10" customHeight="0">
      <c r="A1939" s="2" t="inlineStr">
        <is>
          <t>Комплектующие  для ПромПК</t>
        </is>
      </c>
      <c r="B1939" s="2" t="inlineStr">
        <is>
          <t>IEI</t>
        </is>
      </c>
      <c r="C1939" s="2" t="inlineStr">
        <is>
          <t>RACK-305GBATX-R22</t>
        </is>
      </c>
      <c r="D1939" s="2" t="inlineStr">
        <is>
          <t>Корпус IEI 4U ATX motherboard Rackmount Chassis,2x 8cm fan, w/300W ATX PSU 14-slot Full-size 413 mm x 431 mm x 176 mm 3 x 5.25” + 1 x 3.5” HDD or 2 x 5.25” + 2 x 3.5” HDD or 2 x 5.25” + 1 x 3.5” HDD + 1 x front accessible 3.5” or 2 x 5.25” + 2 x front accessible 3.5” 14 slots for RACK-305G 7 slots for RACK-305GATX</t>
        </is>
      </c>
      <c r="E1939" s="2">
        <v>1</v>
      </c>
      <c r="F1939" s="2">
        <v>1</v>
      </c>
      <c r="H1939" s="2">
        <v>560</v>
      </c>
      <c r="I1939" s="2" t="inlineStr">
        <is>
          <t>$</t>
        </is>
      </c>
      <c r="J1939" s="2">
        <f>HYPERLINK("https://app.astro.lead-studio.pro/product/fb788899-804a-4588-8b48-4cd6b655f691")</f>
      </c>
    </row>
    <row r="1940" spans="1:10" customHeight="0">
      <c r="A1940" s="2" t="inlineStr">
        <is>
          <t>Комплектующие  для ПромПК</t>
        </is>
      </c>
      <c r="B1940" s="2" t="inlineStr">
        <is>
          <t>Advantech</t>
        </is>
      </c>
      <c r="C1940" s="2" t="inlineStr">
        <is>
          <t>AIMB-285G2-00A2E</t>
        </is>
      </c>
      <c r="D1940" s="2" t="inlineStr">
        <is>
          <t>Материнская плата Advantech AIMB-285G2-00A2E Advantech Mini-ITX, Supports Intel® 7th &amp; 6th Gen Core™ i processor (LGA1151) with Intel H110, with DP/HDMI/VGA, 2 COM, Dual LAN, PCIe x4, miniPCIe, DDR4, DC Input, (требуется установка батарейки CR2032)</t>
        </is>
      </c>
      <c r="E1940" s="2">
        <v>9</v>
      </c>
      <c r="F1940" s="2">
        <v>9</v>
      </c>
      <c r="H1940" s="2">
        <v>420</v>
      </c>
      <c r="I1940" s="2" t="inlineStr">
        <is>
          <t>$</t>
        </is>
      </c>
      <c r="J1940" s="2">
        <f>HYPERLINK("https://app.astro.lead-studio.pro/product/a4073453-7cab-4b48-99c9-bb5c0db441c1")</f>
      </c>
    </row>
    <row r="1941" spans="1:10" customHeight="0">
      <c r="A1941" s="2" t="inlineStr">
        <is>
          <t>Комплектующие  для ПромПК</t>
        </is>
      </c>
      <c r="B1941" s="2" t="inlineStr">
        <is>
          <t>Advantech</t>
        </is>
      </c>
      <c r="C1941" s="2" t="inlineStr">
        <is>
          <t>AIMB-785G2-00A2</t>
        </is>
      </c>
      <c r="D1941" s="2" t="inlineStr">
        <is>
          <t>Материнская плата Advantech AIMB-785G2-00A2  Плата ATX,сокет LGA1151 для Intel Core i3/i5/i7/Pentium, до 64Гб DDR4 DIMM,VGA/2xDV требуется установка батарейки CR2032</t>
        </is>
      </c>
      <c r="E1941" s="2">
        <v>10</v>
      </c>
      <c r="F1941" s="2">
        <v>10</v>
      </c>
      <c r="H1941" s="2">
        <v>548</v>
      </c>
      <c r="I1941" s="2" t="inlineStr">
        <is>
          <t>$</t>
        </is>
      </c>
      <c r="J1941" s="2">
        <f>HYPERLINK("https://app.astro.lead-studio.pro/product/7f493796-d72b-40f1-a6c9-1399c0e9a89e")</f>
      </c>
    </row>
    <row r="1942" spans="1:10" customHeight="0">
      <c r="A1942" s="2" t="inlineStr">
        <is>
          <t>Комплектующие  для ПромПК</t>
        </is>
      </c>
      <c r="B1942" s="2" t="inlineStr">
        <is>
          <t>Advantech</t>
        </is>
      </c>
      <c r="C1942" s="2" t="inlineStr">
        <is>
          <t>ASMB-586G2-00A1</t>
        </is>
      </c>
      <c r="D1942" s="2" t="inlineStr">
        <is>
          <t>Материнская плата Advantech ASMB-586G2-00A1 Advantech LGA 1151 Intel® Xeon® E &amp; 8th/9th Generation Core™ MicroATX Server Board with 4 DDR4, 4 PCIe, 6 USB 3.1, 8 SATA3, Dual LANs, IPMI, (требуется установка батарейки CR2032)</t>
        </is>
      </c>
      <c r="E1942" s="2">
        <v>2</v>
      </c>
      <c r="F1942" s="2">
        <v>2</v>
      </c>
      <c r="H1942" s="2">
        <v>662</v>
      </c>
      <c r="I1942" s="2" t="inlineStr">
        <is>
          <t>$</t>
        </is>
      </c>
      <c r="J1942" s="2">
        <f>HYPERLINK("https://app.astro.lead-studio.pro/product/00b4610f-9c90-4acb-a06e-534744537222")</f>
      </c>
    </row>
    <row r="1943" spans="1:10" customHeight="0">
      <c r="A1943" s="2" t="inlineStr">
        <is>
          <t>Комплектующие  для ПромПК</t>
        </is>
      </c>
      <c r="B1943" s="2" t="inlineStr">
        <is>
          <t>Advantech</t>
        </is>
      </c>
      <c r="C1943" s="2" t="inlineStr">
        <is>
          <t>ASMB-785G4-00A1E</t>
        </is>
      </c>
      <c r="D1943" s="2" t="inlineStr">
        <is>
          <t>Материнская плата Advantech ASMB-785G4 (ASMB-785G4-00A1E), Advantech Socket LGA1151 для Intel Xeon E3-1200 v5/v6 and 6th/7th Generation Core i7/i5/i3 processors, 4xDDR4 DIMM, VGA, 2xDVI, 2xPCIe x16, 2xPCIe x4, 3xPCI, 6xSATAIII RAID 0,1,5,10, 2xGbE LAN, 5xCOM, 9xUSB, 1xPS/2, (тре</t>
        </is>
      </c>
      <c r="E1943" s="2">
        <v>7</v>
      </c>
      <c r="F1943" s="2">
        <v>7</v>
      </c>
      <c r="H1943" s="2">
        <v>762</v>
      </c>
      <c r="I1943" s="2" t="inlineStr">
        <is>
          <t>$</t>
        </is>
      </c>
      <c r="J1943" s="2">
        <f>HYPERLINK("https://app.astro.lead-studio.pro/product/3e94f135-536c-4872-9f6f-7035fc923a3d")</f>
      </c>
    </row>
    <row r="1944" spans="1:10" customHeight="0">
      <c r="A1944" s="2" t="inlineStr">
        <is>
          <t>Комплектующие  для ПромПК</t>
        </is>
      </c>
      <c r="B1944" s="2" t="inlineStr">
        <is>
          <t>Advantech</t>
        </is>
      </c>
      <c r="C1944" s="2" t="inlineStr">
        <is>
          <t>PCE-5129G2-00A3</t>
        </is>
      </c>
      <c r="D1944" s="2" t="inlineStr">
        <is>
          <t>Материнская плата Advantech PCE-5129G2-00A3  LGA1151 Q170 FSHB DDR4/VGA/USB3, w/o LPT, I210 LGA1151 Q170 FSHB DDR4/VGA/USB3, w/o LPT, I210</t>
        </is>
      </c>
      <c r="E1944" s="2">
        <v>10</v>
      </c>
      <c r="F1944" s="2">
        <v>10</v>
      </c>
      <c r="H1944" s="2">
        <v>619</v>
      </c>
      <c r="I1944" s="2" t="inlineStr">
        <is>
          <t>$</t>
        </is>
      </c>
      <c r="J1944" s="2">
        <f>HYPERLINK("https://app.astro.lead-studio.pro/product/6cae75a1-e020-4dcb-93c2-9364c64e8769")</f>
      </c>
    </row>
    <row r="1945" spans="1:10" customHeight="0">
      <c r="A1945" s="2" t="inlineStr">
        <is>
          <t>Комплектующие  для ПромПК</t>
        </is>
      </c>
      <c r="B1945" s="2" t="inlineStr">
        <is>
          <t>Advantech</t>
        </is>
      </c>
      <c r="C1945" s="2" t="inlineStr">
        <is>
          <t>PCE-5131G2-00A2</t>
        </is>
      </c>
      <c r="D1945" s="2" t="inlineStr">
        <is>
          <t>Материнская плата Advantech PCE-5131G2 (PCE-5131G2-00A2), Socket LGA1151 для Intel Core i7/i5/i3, Intel Q370, DDR4, CRT/DP/DVI/VGA, 2xGbE LAN, 7xUSB 2.0, 7xUSB 3.1, 2xCOM, LPT, PS/2, 5xSATA Advantech , (требуется установка батарейки CR2032)</t>
        </is>
      </c>
      <c r="E1945" s="2">
        <v>5</v>
      </c>
      <c r="F1945" s="2">
        <v>5</v>
      </c>
      <c r="H1945" s="2">
        <v>1200</v>
      </c>
      <c r="I1945" s="2" t="inlineStr">
        <is>
          <t>$</t>
        </is>
      </c>
      <c r="J1945" s="2">
        <f>HYPERLINK("https://app.astro.lead-studio.pro/product/a73b73e6-f9ea-47b4-8f1b-625b35a78b22")</f>
      </c>
    </row>
    <row r="1946" spans="1:10" customHeight="0">
      <c r="A1946" s="2" t="inlineStr">
        <is>
          <t>Комплектующие  для ПромПК</t>
        </is>
      </c>
      <c r="B1946" s="2" t="inlineStr">
        <is>
          <t>Advantech</t>
        </is>
      </c>
      <c r="C1946" s="2" t="inlineStr">
        <is>
          <t>PCE-5132G2-00A2</t>
        </is>
      </c>
      <c r="D1946" s="2" t="inlineStr">
        <is>
          <t>Материнская плата Advantech Процессорная плата PCE-5132G2-00A2 Advantech PICMG 1.3, LGA1200 для Intel Core i9/i7/i5/i3/Pentium/Celeron, Intel Q470E, DDR4, CRT/DP/DVI/VGA, 2xGbE LAN, 6xUSB 2.0, 8xUSB 3.2, 2xCOM, LPT, GPIO, 6xSATA, 4xPCI, 1xPCIe x4, 1xPCIe x16, 12VDC-in, !!!!! CR203</t>
        </is>
      </c>
      <c r="E1946" s="2">
        <v>4</v>
      </c>
      <c r="F1946" s="2">
        <v>4</v>
      </c>
      <c r="H1946" s="2">
        <v>1005</v>
      </c>
      <c r="I1946" s="2" t="inlineStr">
        <is>
          <t>$</t>
        </is>
      </c>
      <c r="J1946" s="2">
        <f>HYPERLINK("https://app.astro.lead-studio.pro/product/05aea2c8-1670-4653-86c5-6eede76caa54")</f>
      </c>
    </row>
    <row r="1947" spans="1:10" customHeight="0">
      <c r="A1947" s="2" t="inlineStr">
        <is>
          <t>Комплектующие  для ПромПК</t>
        </is>
      </c>
      <c r="B1947" s="2" t="inlineStr">
        <is>
          <t>Advantech</t>
        </is>
      </c>
      <c r="C1947" s="2" t="inlineStr">
        <is>
          <t>PCI-7032G2-00A2E</t>
        </is>
      </c>
      <c r="D1947" s="2" t="inlineStr">
        <is>
          <t>Материнская плата с ЦПУ Advantech PCI-7032G2-00A2E, CPU Intel Celeron J1900, 2xDDR3L SO-DIMM, VGA/LVDS/DVI, 4xPCI 32bit/33MHz, 2xSATA/mSATA, 2xGbE LAN, 4xCOM, 7xUSB Advantech (требуется установка батарейки CR2032)</t>
        </is>
      </c>
      <c r="E1947" s="2">
        <v>5</v>
      </c>
      <c r="F1947" s="2">
        <v>5</v>
      </c>
      <c r="H1947" s="2">
        <v>512</v>
      </c>
      <c r="I1947" s="2" t="inlineStr">
        <is>
          <t>$</t>
        </is>
      </c>
      <c r="J1947" s="2">
        <f>HYPERLINK("https://app.astro.lead-studio.pro/product/64c06a4a-0f1c-453f-acd6-ce44bbfb16bb")</f>
      </c>
    </row>
    <row r="1948" spans="1:10" customHeight="0">
      <c r="A1948" s="2" t="inlineStr">
        <is>
          <t>Комплектующие  для ПромПК</t>
        </is>
      </c>
      <c r="B1948" s="2" t="inlineStr">
        <is>
          <t>Advantech</t>
        </is>
      </c>
      <c r="C1948" s="2" t="inlineStr">
        <is>
          <t>PCI-7032G2-00A3</t>
        </is>
      </c>
      <c r="D1948" s="2" t="inlineStr">
        <is>
          <t>Материнская плата с ЦПУ Advantech PCI-7032G2-00A3  (требуется установка батарейки CR2032)</t>
        </is>
      </c>
      <c r="E1948" s="2">
        <v>8</v>
      </c>
      <c r="F1948" s="2">
        <v>8</v>
      </c>
      <c r="H1948" s="2">
        <v>414</v>
      </c>
      <c r="I1948" s="2" t="inlineStr">
        <is>
          <t>$</t>
        </is>
      </c>
      <c r="J1948" s="2">
        <f>HYPERLINK("https://app.astro.lead-studio.pro/product/ce102ef7-c82f-4959-8faa-e0875888082a")</f>
      </c>
    </row>
    <row r="1949" spans="1:10" customHeight="0">
      <c r="A1949" s="2" t="inlineStr">
        <is>
          <t>Комплектующие  для ПромПК</t>
        </is>
      </c>
      <c r="B1949" s="2" t="inlineStr">
        <is>
          <t>Advantech</t>
        </is>
      </c>
      <c r="C1949" s="2" t="inlineStr">
        <is>
          <t>PCM-9563N-S1A2</t>
        </is>
      </c>
      <c r="D1949" s="2" t="inlineStr">
        <is>
          <t>Материнская плата с ЦПУ Advantech PCM-9563N-S1A2, Intel Celeron N3350, формата 5.25'', 1 х DDR3L, с разъемами 2 х LAN, 2 x USB 3.0, 6 x USB 2.0, 1 x SATA III, 1 x mSATA, 4 x RS-232, 2 x RS-422/485, слотами расширения 1 x PCI, 1 x PCI-1 Advantech  (требуется установка батарейки CR2032)</t>
        </is>
      </c>
      <c r="E1949" s="2">
        <v>6</v>
      </c>
      <c r="F1949" s="2">
        <v>6</v>
      </c>
      <c r="H1949" s="2">
        <v>407</v>
      </c>
      <c r="I1949" s="2" t="inlineStr">
        <is>
          <t>$</t>
        </is>
      </c>
      <c r="J1949" s="2">
        <f>HYPERLINK("https://app.astro.lead-studio.pro/product/82510493-0046-4ba0-ac11-07c2d1301baa")</f>
      </c>
    </row>
    <row r="1950" spans="1:10" customHeight="0">
      <c r="A1950" s="2" t="inlineStr">
        <is>
          <t>Комплектующие  для ПромПК</t>
        </is>
      </c>
      <c r="B1950" s="2" t="inlineStr">
        <is>
          <t>Advantech</t>
        </is>
      </c>
      <c r="C1950" s="2" t="inlineStr">
        <is>
          <t>SOM-7567BS0CB-S5A2</t>
        </is>
      </c>
      <c r="D1950" s="2" t="inlineStr">
        <is>
          <t>Материнская плата с ЦПУ Advantech SOM-7567BS0CB-S5A2 Advantech Процессорная плата COM Express R2.1 Type 10, Intel Atom E3815, DDR3L-1066, LVDS, HDMI/DisplayPort/DVI, GbE, 2xCOM, 1xUSB 3.0, 4xUSB 2.0, 3xPCIe x1, SMBus, I2C, 0...+60C(требуется установка батарейки CR2032)</t>
        </is>
      </c>
      <c r="E1950" s="2">
        <v>10</v>
      </c>
      <c r="F1950" s="2">
        <v>10</v>
      </c>
      <c r="H1950" s="2">
        <v>413</v>
      </c>
      <c r="I1950" s="2" t="inlineStr">
        <is>
          <t>$</t>
        </is>
      </c>
      <c r="J1950" s="2">
        <f>HYPERLINK("https://app.astro.lead-studio.pro/product/55ead85f-7946-4a94-836a-77656f03b81d")</f>
      </c>
    </row>
    <row r="1951" spans="1:10" customHeight="0">
      <c r="A1951" s="2" t="inlineStr">
        <is>
          <t>Комплектующие  для ПромПК</t>
        </is>
      </c>
      <c r="B1951" s="2" t="inlineStr">
        <is>
          <t>Advantech</t>
        </is>
      </c>
      <c r="C1951" s="2" t="inlineStr">
        <is>
          <t>MIC-3961-AE</t>
        </is>
      </c>
      <c r="D1951" s="2" t="inlineStr">
        <is>
          <t>Плата интерфейсная Advantech MIC-3961-AE   6U CompactPCI PCI Carrier Board (534423)</t>
        </is>
      </c>
      <c r="E1951" s="2">
        <v>50</v>
      </c>
      <c r="F1951" s="2">
        <v>50</v>
      </c>
      <c r="H1951" s="2">
        <v>557</v>
      </c>
      <c r="I1951" s="2" t="inlineStr">
        <is>
          <t>$</t>
        </is>
      </c>
      <c r="J1951" s="2">
        <f>HYPERLINK("https://app.astro.lead-studio.pro/product/b9cd4fc2-35ad-4e5b-91e5-0b0610642013")</f>
      </c>
    </row>
    <row r="1952" spans="1:10" customHeight="0">
      <c r="A1952" s="2" t="inlineStr">
        <is>
          <t>Комплектующие  для ПромПК</t>
        </is>
      </c>
      <c r="B1952" s="2" t="inlineStr">
        <is>
          <t>Advantech</t>
        </is>
      </c>
      <c r="C1952" s="2" t="inlineStr">
        <is>
          <t>PCA-6119P7-0C2E</t>
        </is>
      </c>
      <c r="D1952" s="2" t="inlineStr">
        <is>
          <t>Плата интерфейсная Advantech PCA-6119P7-0C2E Промышленная кросс-плата 2 х PICMG, 10 х ISA,7 х PCI Advantech подходит для плат фор подходит для плат формата PICMG1.0 Full-Size, размер 417 см x 260 см</t>
        </is>
      </c>
      <c r="E1952" s="2">
        <v>10</v>
      </c>
      <c r="F1952" s="2">
        <v>10</v>
      </c>
      <c r="H1952" s="2">
        <v>402</v>
      </c>
      <c r="I1952" s="2" t="inlineStr">
        <is>
          <t>$</t>
        </is>
      </c>
      <c r="J1952" s="2">
        <f>HYPERLINK("https://app.astro.lead-studio.pro/product/e0144a6d-b0d1-4b9d-94c9-7f41caf784b9")</f>
      </c>
    </row>
    <row r="1953" spans="1:10" customHeight="0">
      <c r="A1953" s="2" t="inlineStr">
        <is>
          <t>Комплектующие  для ПромПК</t>
        </is>
      </c>
      <c r="B1953" s="2" t="inlineStr">
        <is>
          <t>Advantech</t>
        </is>
      </c>
      <c r="C1953" s="2" t="inlineStr">
        <is>
          <t>PCA-6120P12-0A3E</t>
        </is>
      </c>
      <c r="D1953" s="2" t="inlineStr">
        <is>
          <t>Плата интерфейсная Advantech PCA-6120P12-0A3E Backplane PICMG 1.0, 20 слотов: 1xPICMG 1.0, 1xPICMG/PCI, 11xPCI, 7xISA, Compatible with IPC-623, IPC-622, ACP-7360 и ACP-5360 chassis Advantech</t>
        </is>
      </c>
      <c r="E1953" s="2">
        <v>3</v>
      </c>
      <c r="F1953" s="2">
        <v>3</v>
      </c>
      <c r="H1953" s="2">
        <v>418</v>
      </c>
      <c r="I1953" s="2" t="inlineStr">
        <is>
          <t>$</t>
        </is>
      </c>
      <c r="J1953" s="2">
        <f>HYPERLINK("https://app.astro.lead-studio.pro/product/1b46d412-c5b5-4e56-b518-20a8418d3123")</f>
      </c>
    </row>
    <row r="1954" spans="1:10" customHeight="0">
      <c r="A1954" s="2" t="inlineStr">
        <is>
          <t>Комплектующие  для ПромПК</t>
        </is>
      </c>
      <c r="B1954" s="2" t="inlineStr">
        <is>
          <t>Advantech</t>
        </is>
      </c>
      <c r="C1954" s="2" t="inlineStr">
        <is>
          <t>PCA-6120P18-0A2E</t>
        </is>
      </c>
      <c r="D1954" s="2" t="inlineStr">
        <is>
          <t>Плата интерфейсная Advantech PCA-6120P18-0A2E  Backplane PICMG 1.0,  20 slot,1ISA,17PCI,1PICMG,1PICMG/PCI K</t>
        </is>
      </c>
      <c r="E1954" s="2">
        <v>6</v>
      </c>
      <c r="F1954" s="2">
        <v>6</v>
      </c>
      <c r="H1954" s="2">
        <v>478</v>
      </c>
      <c r="I1954" s="2" t="inlineStr">
        <is>
          <t>$</t>
        </is>
      </c>
      <c r="J1954" s="2">
        <f>HYPERLINK("https://app.astro.lead-studio.pro/product/7d9a680f-92a3-4d7e-889e-83ebc84fbb83")</f>
      </c>
    </row>
    <row r="1955" spans="1:10" customHeight="0">
      <c r="A1955" s="2" t="inlineStr">
        <is>
          <t>Комплектующие  для ПромПК</t>
        </is>
      </c>
      <c r="B1955" s="2" t="inlineStr">
        <is>
          <t>Advantech</t>
        </is>
      </c>
      <c r="C1955" s="2" t="inlineStr">
        <is>
          <t>PCE-5B12-07A1E</t>
        </is>
      </c>
      <c r="D1955" s="2" t="inlineStr">
        <is>
          <t>Плата интерфейсная Advantech PCE-5B12-07A1E  Advantech Backplane PICMG 1.3, 12 слотов, 1xPICMG 1.3, 7xPCI, 1xPCIe x16, 3xPCIe x4 Пассивная кросс-плата 0xPCI-X, Compatible with IPC-510, IPC-610, IPC-611, ACP-4000, ACP-4320, ACP-4360, ACP-4010 chassis</t>
        </is>
      </c>
      <c r="E1955" s="2">
        <v>5</v>
      </c>
      <c r="F1955" s="2">
        <v>5</v>
      </c>
      <c r="H1955" s="2">
        <v>327</v>
      </c>
      <c r="I1955" s="2" t="inlineStr">
        <is>
          <t>$</t>
        </is>
      </c>
      <c r="J1955" s="2">
        <f>HYPERLINK("https://app.astro.lead-studio.pro/product/7d449290-fe05-4787-bb7f-41b61a6e2dfb")</f>
      </c>
    </row>
    <row r="1956" spans="1:10" customHeight="0">
      <c r="A1956" s="2" t="inlineStr">
        <is>
          <t>Комплектующие  для ПромПК</t>
        </is>
      </c>
      <c r="B1956" s="2" t="inlineStr">
        <is>
          <t>Advantech</t>
        </is>
      </c>
      <c r="C1956" s="2" t="inlineStr">
        <is>
          <t>PCE-5B13-03A1E</t>
        </is>
      </c>
      <c r="D1956" s="2" t="inlineStr">
        <is>
          <t>Плата интерфейсная Advantech PCE-5B13-03A1E Advantech Объединительная плата PICMG 1.3, 13 слотов, 1xPICMG 1.3, 3xPCI, 1xPCI Express x16, 8xPCI Express x4, до 12В</t>
        </is>
      </c>
      <c r="E1956" s="2">
        <v>10</v>
      </c>
      <c r="F1956" s="2">
        <v>10</v>
      </c>
      <c r="H1956" s="2">
        <v>742</v>
      </c>
      <c r="I1956" s="2" t="inlineStr">
        <is>
          <t>$</t>
        </is>
      </c>
      <c r="J1956" s="2">
        <f>HYPERLINK("https://app.astro.lead-studio.pro/product/8927bf51-5bf1-4141-ac3f-2616cfe31971")</f>
      </c>
    </row>
    <row r="1957" spans="1:10" customHeight="0">
      <c r="A1957" s="2" t="inlineStr">
        <is>
          <t>Комплектующие  для ПромПК</t>
        </is>
      </c>
      <c r="B1957" s="2" t="inlineStr">
        <is>
          <t>Advantech</t>
        </is>
      </c>
      <c r="C1957" s="2" t="inlineStr">
        <is>
          <t>PCE-5B18-88B1E</t>
        </is>
      </c>
      <c r="D1957" s="2" t="inlineStr">
        <is>
          <t>Плата интерфейсная Advantech PCE-5B18-88B1E Advantech Объединительная плата PICMG 1.3, 18 слотов, 1xPICMG 1.3, 8xPCI, 1xPCIe x16, 8xPCI-X {6}</t>
        </is>
      </c>
      <c r="E1957" s="2">
        <v>10</v>
      </c>
      <c r="F1957" s="2">
        <v>10</v>
      </c>
      <c r="H1957" s="2">
        <v>472</v>
      </c>
      <c r="I1957" s="2" t="inlineStr">
        <is>
          <t>$</t>
        </is>
      </c>
      <c r="J1957" s="2">
        <f>HYPERLINK("https://app.astro.lead-studio.pro/product/2bf81d9f-b1db-4b57-a3a5-96a01049638e")</f>
      </c>
    </row>
    <row r="1958" spans="1:10" customHeight="0">
      <c r="A1958" s="2" t="inlineStr">
        <is>
          <t>Комплектующие  для ПромПК</t>
        </is>
      </c>
      <c r="B1958" s="2" t="inlineStr">
        <is>
          <t>Advantech</t>
        </is>
      </c>
      <c r="C1958" s="2" t="inlineStr">
        <is>
          <t>PCE-7B13-64C1E</t>
        </is>
      </c>
      <c r="D1958" s="2" t="inlineStr">
        <is>
          <t>Плата интерфейсная Advantech PCE-7B13-64C1E Backplane PICMG 1.3, 13 слотов: 1xPICMG 1.3, 4xPCI, 2xPCIe x8, 6xPCI-X, Compatible with IPC Chassis: IPC-510, IPC-610, IPC-611, ACP-4000, ACP-4010, ACP-4320, and ACP-4360 Advantech</t>
        </is>
      </c>
      <c r="E1958" s="2">
        <v>1</v>
      </c>
      <c r="F1958" s="2">
        <v>1</v>
      </c>
      <c r="H1958" s="2">
        <v>669</v>
      </c>
      <c r="I1958" s="2" t="inlineStr">
        <is>
          <t>$</t>
        </is>
      </c>
      <c r="J1958" s="2">
        <f>HYPERLINK("https://app.astro.lead-studio.pro/product/5ed06303-8d64-4183-ae59-1b4a760fdbd5")</f>
      </c>
    </row>
    <row r="1959" spans="1:10" customHeight="0">
      <c r="A1959" s="2" t="inlineStr">
        <is>
          <t>Комплектующие  для ПромПК</t>
        </is>
      </c>
      <c r="B1959" s="2" t="inlineStr">
        <is>
          <t>Advantech</t>
        </is>
      </c>
      <c r="C1959" s="2" t="inlineStr">
        <is>
          <t>PCI-1612C-CE</t>
        </is>
      </c>
      <c r="D1959" s="2" t="inlineStr">
        <is>
          <t>Плата интерфейсная Advantech PCI-1612C-CE   4-port RS-232/422/485 PCI Communication Card</t>
        </is>
      </c>
      <c r="E1959" s="2">
        <v>5</v>
      </c>
      <c r="F1959" s="2">
        <v>5</v>
      </c>
      <c r="H1959" s="2">
        <v>432</v>
      </c>
      <c r="I1959" s="2" t="inlineStr">
        <is>
          <t>$</t>
        </is>
      </c>
      <c r="J1959" s="2">
        <f>HYPERLINK("https://app.astro.lead-studio.pro/product/e02badc0-c451-4d7b-9ee7-d4a1e0e9e05a")</f>
      </c>
    </row>
    <row r="1960" spans="1:10" customHeight="0">
      <c r="A1960" s="2" t="inlineStr">
        <is>
          <t>Комплектующие  для ПромПК</t>
        </is>
      </c>
      <c r="B1960" s="2" t="inlineStr">
        <is>
          <t>Advantech</t>
        </is>
      </c>
      <c r="C1960" s="2" t="inlineStr">
        <is>
          <t>PCI-1622C-DE</t>
        </is>
      </c>
      <c r="D1960" s="2" t="inlineStr">
        <is>
          <t>Плата интерфейсная Advantech PCI-1622C-DE Advantech Universal PCI адаптер 8xRS-232/422/485 разъем DB78 Female, c защитой  c защитой от перенапряжения и изоляцией, без кабеля OPT8J</t>
        </is>
      </c>
      <c r="E1960" s="2">
        <v>5</v>
      </c>
      <c r="F1960" s="2">
        <v>5</v>
      </c>
      <c r="H1960" s="2">
        <v>543</v>
      </c>
      <c r="I1960" s="2" t="inlineStr">
        <is>
          <t>$</t>
        </is>
      </c>
      <c r="J1960" s="2">
        <f>HYPERLINK("https://app.astro.lead-studio.pro/product/34969f32-8f7b-47d2-8186-62268a5c52c5")</f>
      </c>
    </row>
    <row r="1961" spans="1:10" customHeight="0">
      <c r="A1961" s="2" t="inlineStr">
        <is>
          <t>Комплектующие  для ПромПК</t>
        </is>
      </c>
      <c r="B1961" s="2" t="inlineStr">
        <is>
          <t>Advantech</t>
        </is>
      </c>
      <c r="C1961" s="2" t="inlineStr">
        <is>
          <t>PCI-1671UP-AE</t>
        </is>
      </c>
      <c r="D1961" s="2" t="inlineStr">
        <is>
          <t>Плата интерфейсная Advantech PCI-1671UP-AE Универсальная плата ввода/вывода IEEE-488.2 Interface Low Profile Universal PCI Card Advantech</t>
        </is>
      </c>
      <c r="E1961" s="2">
        <v>9</v>
      </c>
      <c r="F1961" s="2">
        <v>9</v>
      </c>
      <c r="H1961" s="2">
        <v>680</v>
      </c>
      <c r="I1961" s="2" t="inlineStr">
        <is>
          <t>$</t>
        </is>
      </c>
      <c r="J1961" s="2">
        <f>HYPERLINK("https://app.astro.lead-studio.pro/product/f09dc237-c5ff-4635-a932-4e70818cca7b")</f>
      </c>
    </row>
    <row r="1962" spans="1:10" customHeight="0">
      <c r="A1962" s="2" t="inlineStr">
        <is>
          <t>Комплектующие  для ПромПК</t>
        </is>
      </c>
      <c r="B1962" s="2" t="inlineStr">
        <is>
          <t>Advantech</t>
        </is>
      </c>
      <c r="C1962" s="2" t="inlineStr">
        <is>
          <t>PCI-1710HGU-DE</t>
        </is>
      </c>
      <c r="D1962" s="2" t="inlineStr">
        <is>
          <t>Плата интерфейсная Advantech PCI-1710HGU-DE Advantech Плата ввода-вывода Universal PCI, 16SE/8D AI, 2AO, 16DI, 16DO/ плата аналогового ввода-вывода / 100KS/s 12-bit Multi. Uni. PCI Card / High-gain</t>
        </is>
      </c>
      <c r="E1962" s="2">
        <v>2</v>
      </c>
      <c r="F1962" s="2">
        <v>2</v>
      </c>
      <c r="H1962" s="2">
        <v>623</v>
      </c>
      <c r="I1962" s="2" t="inlineStr">
        <is>
          <t>$</t>
        </is>
      </c>
      <c r="J1962" s="2">
        <f>HYPERLINK("https://app.astro.lead-studio.pro/product/79aa9bc1-7d01-4334-9239-cdc5b11a8a6e")</f>
      </c>
    </row>
    <row r="1963" spans="1:10" customHeight="0">
      <c r="A1963" s="2" t="inlineStr">
        <is>
          <t>Комплектующие  для ПромПК</t>
        </is>
      </c>
      <c r="B1963" s="2" t="inlineStr">
        <is>
          <t>Advantech</t>
        </is>
      </c>
      <c r="C1963" s="2" t="inlineStr">
        <is>
          <t>PCI-1716-BE</t>
        </is>
      </c>
      <c r="D1963" s="2" t="inlineStr">
        <is>
          <t>Плата интерфейсная Advantech PCI-1716-BE Плата ввода-вывода PC, Встроенный буфер FIFO на 1024 значения, 16 цифровых входов и 16 цифровых выходов I, 16SE/8D AI, 2AO, 16DI, 16DO, +/-0.625 V, +/-1.25 V, +/-2.5 V, +/-5 V, +/-10 V, 0-1.25 V, 0-2.5 V, 0-5 V, 0-10 V, 5/12VDC-in</t>
        </is>
      </c>
      <c r="E1963" s="2">
        <v>2</v>
      </c>
      <c r="F1963" s="2">
        <v>2</v>
      </c>
      <c r="H1963" s="2">
        <v>804</v>
      </c>
      <c r="I1963" s="2" t="inlineStr">
        <is>
          <t>$</t>
        </is>
      </c>
      <c r="J1963" s="2">
        <f>HYPERLINK("https://app.astro.lead-studio.pro/product/4feb03c3-f45b-493f-b47a-8fc05c09a106")</f>
      </c>
    </row>
    <row r="1964" spans="1:10" customHeight="0">
      <c r="A1964" s="2" t="inlineStr">
        <is>
          <t>Комплектующие  для ПромПК</t>
        </is>
      </c>
      <c r="B1964" s="2" t="inlineStr">
        <is>
          <t>Advantech</t>
        </is>
      </c>
      <c r="C1964" s="2" t="inlineStr">
        <is>
          <t>PCI-1720U-BE</t>
        </is>
      </c>
      <c r="D1964" s="2" t="inlineStr">
        <is>
          <t>Плата интерфейсная Advantech PCI-1720U-BE Advantech 4-канальная универсальная PCI плата аналогового вывода с 12-битным ЦАП и гальванической изоляцией</t>
        </is>
      </c>
      <c r="E1964" s="2">
        <v>2</v>
      </c>
      <c r="F1964" s="2">
        <v>2</v>
      </c>
      <c r="H1964" s="2">
        <v>510</v>
      </c>
      <c r="I1964" s="2" t="inlineStr">
        <is>
          <t>$</t>
        </is>
      </c>
      <c r="J1964" s="2">
        <f>HYPERLINK("https://app.astro.lead-studio.pro/product/aa717e96-5930-4f16-8bc8-132fed76c196")</f>
      </c>
    </row>
    <row r="1965" spans="1:10" customHeight="0">
      <c r="A1965" s="2" t="inlineStr">
        <is>
          <t>Комплектующие  для ПромПК</t>
        </is>
      </c>
      <c r="B1965" s="2" t="inlineStr">
        <is>
          <t>Advantech</t>
        </is>
      </c>
      <c r="C1965" s="2" t="inlineStr">
        <is>
          <t>PCI-1756-BE</t>
        </is>
      </c>
      <c r="D1965" s="2" t="inlineStr">
        <is>
          <t>Плата интерфейсная Advantech PCI-1756-BE Isolated Digital I/O Card Плата дискретного ввода-вывода, 64 канала,</t>
        </is>
      </c>
      <c r="E1965" s="2">
        <v>1</v>
      </c>
      <c r="F1965" s="2">
        <v>1</v>
      </c>
      <c r="H1965" s="2">
        <v>370</v>
      </c>
      <c r="I1965" s="2" t="inlineStr">
        <is>
          <t>$</t>
        </is>
      </c>
      <c r="J1965" s="2">
        <f>HYPERLINK("https://app.astro.lead-studio.pro/product/f6f2da81-ac44-4947-8048-a0fc3d4696f6")</f>
      </c>
    </row>
    <row r="1966" spans="1:10" customHeight="0">
      <c r="A1966" s="2" t="inlineStr">
        <is>
          <t>Комплектующие  для ПромПК</t>
        </is>
      </c>
      <c r="B1966" s="2" t="inlineStr">
        <is>
          <t>Advantech</t>
        </is>
      </c>
      <c r="C1966" s="2" t="inlineStr">
        <is>
          <t>PCI-1758UDIO-BE</t>
        </is>
      </c>
      <c r="D1966" s="2" t="inlineStr">
        <is>
          <t>Плата интерфейсная Advantech PCI-1758UDIO-BE   128-канальная плата цифрового ввода/вывода, с гальванической изоляцией</t>
        </is>
      </c>
      <c r="E1966" s="2">
        <v>2</v>
      </c>
      <c r="F1966" s="2">
        <v>2</v>
      </c>
      <c r="H1966" s="2">
        <v>638</v>
      </c>
      <c r="I1966" s="2" t="inlineStr">
        <is>
          <t>$</t>
        </is>
      </c>
      <c r="J1966" s="2">
        <f>HYPERLINK("https://app.astro.lead-studio.pro/product/e3d58a70-20a4-4b9b-beeb-c9199c6c87c7")</f>
      </c>
    </row>
    <row r="1967" spans="1:10" customHeight="0">
      <c r="A1967" s="2" t="inlineStr">
        <is>
          <t>Комплектующие  для ПромПК</t>
        </is>
      </c>
      <c r="B1967" s="2" t="inlineStr">
        <is>
          <t>Advantech</t>
        </is>
      </c>
      <c r="C1967" s="2" t="inlineStr">
        <is>
          <t>PCI-1758UDO-BE</t>
        </is>
      </c>
      <c r="D1967" s="2" t="inlineStr">
        <is>
          <t>Плата интерфейсная Advantech PCI-1758UDO-BE   128-канальная плата цифрового вывода, с гальванической изоляцией</t>
        </is>
      </c>
      <c r="E1967" s="2">
        <v>1</v>
      </c>
      <c r="F1967" s="2">
        <v>1</v>
      </c>
      <c r="H1967" s="2">
        <v>717</v>
      </c>
      <c r="I1967" s="2" t="inlineStr">
        <is>
          <t>$</t>
        </is>
      </c>
      <c r="J1967" s="2">
        <f>HYPERLINK("https://app.astro.lead-studio.pro/product/105cdb68-da39-4a4c-8cfb-13c6c4cca193")</f>
      </c>
    </row>
    <row r="1968" spans="1:10" customHeight="0">
      <c r="A1968" s="2" t="inlineStr">
        <is>
          <t>Комплектующие  для ПромПК</t>
        </is>
      </c>
      <c r="B1968" s="2" t="inlineStr">
        <is>
          <t>Advantech</t>
        </is>
      </c>
      <c r="C1968" s="2" t="inlineStr">
        <is>
          <t>PCI-1780U-AE</t>
        </is>
      </c>
      <c r="D1968" s="2" t="inlineStr">
        <is>
          <t>Плата интерфейсная Advantech Плата ввода-вывода PCI-1780U-AE Universal PCI, 8DI, 8DO, 8 счетчиков, 8 PWM</t>
        </is>
      </c>
      <c r="E1968" s="2">
        <v>4</v>
      </c>
      <c r="F1968" s="2">
        <v>4</v>
      </c>
      <c r="H1968" s="2">
        <v>480</v>
      </c>
      <c r="I1968" s="2" t="inlineStr">
        <is>
          <t>$</t>
        </is>
      </c>
      <c r="J1968" s="2">
        <f>HYPERLINK("https://app.astro.lead-studio.pro/product/7f03f0de-08a9-4582-b367-7bbe09b961d9")</f>
      </c>
    </row>
    <row r="1969" spans="1:10" customHeight="0">
      <c r="A1969" s="2" t="inlineStr">
        <is>
          <t>Комплектующие  для ПромПК</t>
        </is>
      </c>
      <c r="B1969" s="2" t="inlineStr">
        <is>
          <t>Advantech</t>
        </is>
      </c>
      <c r="C1969" s="2" t="inlineStr">
        <is>
          <t>PCL-726-CE</t>
        </is>
      </c>
      <c r="D1969" s="2" t="inlineStr">
        <is>
          <t>Плата интерфейсная Advantech Плата ввода-вывода ISA PCL-726-CE 144ch</t>
        </is>
      </c>
      <c r="E1969" s="2">
        <v>1</v>
      </c>
      <c r="F1969" s="2">
        <v>1</v>
      </c>
      <c r="H1969" s="2">
        <v>518</v>
      </c>
      <c r="I1969" s="2" t="inlineStr">
        <is>
          <t>$</t>
        </is>
      </c>
      <c r="J1969" s="2">
        <f>HYPERLINK("https://app.astro.lead-studio.pro/product/85bda62e-1c0d-41e4-945f-9cd640cc2457")</f>
      </c>
    </row>
    <row r="1970" spans="1:10" customHeight="0">
      <c r="A1970" s="2" t="inlineStr">
        <is>
          <t>Комплектующие  для ПромПК</t>
        </is>
      </c>
      <c r="B1970" s="2" t="inlineStr">
        <is>
          <t>Caswell</t>
        </is>
      </c>
      <c r="C1970" s="2" t="inlineStr">
        <is>
          <t>CAR-5050</t>
        </is>
      </c>
      <c r="D1970" s="2" t="inlineStr">
        <is>
          <t>Платформа системного блока Caswell CAR-5050 Caswell 2U Appliance CPU:Intel Purley Skylake-SP Platform Memory:DDR4 ECC 2400MHz Memory (Max. 512GB) Ethernet Ports:Support Up to 48x 10GbE</t>
        </is>
      </c>
      <c r="E1970" s="2">
        <v>1</v>
      </c>
      <c r="F1970" s="2">
        <v>1</v>
      </c>
      <c r="H1970" s="2">
        <v>3403</v>
      </c>
      <c r="I1970" s="2" t="inlineStr">
        <is>
          <t>$</t>
        </is>
      </c>
      <c r="J1970" s="2">
        <f>HYPERLINK("https://app.astro.lead-studio.pro/product/ada17eba-beb7-4e44-865a-133046481494")</f>
      </c>
    </row>
    <row r="1971" spans="1:10" customHeight="0">
      <c r="A1971" s="2" t="inlineStr">
        <is>
          <t>Комплектующие  для ПромПК</t>
        </is>
      </c>
      <c r="B1971" s="2" t="inlineStr">
        <is>
          <t>Axiomtek</t>
        </is>
      </c>
      <c r="C1971" s="2" t="inlineStr">
        <is>
          <t>S26E86111E</t>
        </is>
      </c>
      <c r="D1971" s="2" t="inlineStr">
        <is>
          <t>Платформа системного блока Axiomtek NA861-R2GI-US (S26E86111E) with Redn power with 4xAX93327-4FI 10G XL710 w/LAN tray</t>
        </is>
      </c>
      <c r="E1971" s="2">
        <v>1</v>
      </c>
      <c r="F1971" s="2">
        <v>1</v>
      </c>
      <c r="H1971" s="2">
        <v>3258</v>
      </c>
      <c r="I1971" s="2" t="inlineStr">
        <is>
          <t>$</t>
        </is>
      </c>
      <c r="J1971" s="2">
        <f>HYPERLINK("https://app.astro.lead-studio.pro/product/b6265476-d01b-452d-a9ab-4cded78c9578")</f>
      </c>
    </row>
    <row r="1972" spans="1:10" customHeight="0">
      <c r="A1972" s="2" t="inlineStr">
        <is>
          <t>Комплектующие  для ПромПК</t>
        </is>
      </c>
      <c r="B1972" s="2" t="inlineStr">
        <is>
          <t>Caswell</t>
        </is>
      </c>
      <c r="C1972" s="2" t="inlineStr">
        <is>
          <t>CAR-5050_Q80</t>
        </is>
      </c>
      <c r="D1972" s="2" t="inlineStr">
        <is>
          <t>Платформа системного блока Caswell CAR-5050 Caswell 2U Appliance CPU:Intel Skylake-EP w/ Lewisbur PCH,16X DDR4 DIMM </t>
        </is>
      </c>
      <c r="E1972" s="2">
        <v>3</v>
      </c>
      <c r="F1972" s="2">
        <v>3</v>
      </c>
      <c r="H1972" s="2">
        <v>8153</v>
      </c>
      <c r="I1972" s="2" t="inlineStr">
        <is>
          <t>$</t>
        </is>
      </c>
      <c r="J1972" s="2">
        <f>HYPERLINK("https://app.astro.lead-studio.pro/product/fe291323-82f4-4eec-8d66-04f6a03f3f6a")</f>
      </c>
    </row>
    <row r="1973" spans="1:10" customHeight="0">
      <c r="A1973" s="2" t="inlineStr">
        <is>
          <t>Комплектующие  для ПромПК</t>
        </is>
      </c>
      <c r="B1973" s="2" t="inlineStr">
        <is>
          <t>Advantech</t>
        </is>
      </c>
      <c r="C1973" s="2" t="inlineStr">
        <is>
          <t>UTK-615AP-VFW80</t>
        </is>
      </c>
      <c r="D1973" s="2" t="inlineStr">
        <is>
          <t>Платформа моноблока с ЦПУ Advantech UTK-615AP-VFW80 15.6" display with PCAP touchscreen, ARM RK3288 processor, 2GB RAM, 8GB flash, camera, scanner, Wi-fi</t>
        </is>
      </c>
      <c r="E1973" s="2">
        <v>1</v>
      </c>
      <c r="F1973" s="2">
        <v>1</v>
      </c>
      <c r="H1973" s="2">
        <v>1273</v>
      </c>
      <c r="I1973" s="2" t="inlineStr">
        <is>
          <t>$</t>
        </is>
      </c>
      <c r="J1973" s="2">
        <f>HYPERLINK("https://app.astro.lead-studio.pro/product/046a31a2-89b5-4253-90a9-53f272d9721c")</f>
      </c>
    </row>
    <row r="1974" spans="1:10" customHeight="0">
      <c r="A1974" s="2" t="inlineStr">
        <is>
          <t>Периферийные устройства (для ПромПК)</t>
        </is>
      </c>
      <c r="B1974" s="2" t="inlineStr">
        <is>
          <t>IEI</t>
        </is>
      </c>
      <c r="C1974" s="2" t="inlineStr">
        <is>
          <t>DM-F17A/R-R30</t>
        </is>
      </c>
      <c r="D1974" s="2" t="inlineStr">
        <is>
          <t>Промышленная мониторная панель LCD с сенсорным экраном  DM-F17A DM-F17A/R-R30 17'', входы VGA, HDMI, Display Port Диагональ экрана 17 Соотношение сторон 4:3 Тип дисплея LCD Разрешение экрана 1280x1024 Яркость, кд/кв.м 350 Контрастность 1000:1 Угол обзора по горизонтали 170 Угол обзора по вертикали 160</t>
        </is>
      </c>
      <c r="E1974" s="2">
        <v>1</v>
      </c>
      <c r="F1974" s="2">
        <v>1</v>
      </c>
      <c r="H1974" s="2">
        <v>1052</v>
      </c>
      <c r="I1974" s="2" t="inlineStr">
        <is>
          <t>$</t>
        </is>
      </c>
      <c r="J1974" s="2">
        <f>HYPERLINK("https://app.astro.lead-studio.pro/product/604913a5-6b84-4c46-ac1b-e024505f16b3")</f>
      </c>
    </row>
    <row r="1975" spans="1:10" customHeight="0">
      <c r="A1975" s="2" t="inlineStr">
        <is>
          <t>Периферийные устройства (для ПромПК)</t>
        </is>
      </c>
      <c r="B1975" s="2" t="inlineStr">
        <is>
          <t>Advantech</t>
        </is>
      </c>
      <c r="C1975" s="2" t="inlineStr">
        <is>
          <t>FPM-217-R8AE</t>
        </is>
      </c>
      <c r="D1975" s="2" t="inlineStr">
        <is>
          <t>Промышленная мониторная панель  FPM-217-R8AE 17"  SXGA with Resistive Touch Control, Direct HDMI, DP, and VG Ports, Advantech</t>
        </is>
      </c>
      <c r="E1975" s="2">
        <v>1</v>
      </c>
      <c r="F1975" s="2">
        <v>1</v>
      </c>
      <c r="H1975" s="2">
        <v>1175</v>
      </c>
      <c r="I1975" s="2" t="inlineStr">
        <is>
          <t>$</t>
        </is>
      </c>
      <c r="J1975" s="2">
        <f>HYPERLINK("https://app.astro.lead-studio.pro/product/e610c90b-7b1d-43eb-a289-9cd18d7639f5")</f>
      </c>
    </row>
    <row r="1976" spans="1:10" customHeight="0">
      <c r="A1976" s="2" t="inlineStr">
        <is>
          <t>Периферийные устройства (для ПромПК)</t>
        </is>
      </c>
      <c r="B1976" s="2" t="inlineStr">
        <is>
          <t>Advantech</t>
        </is>
      </c>
      <c r="C1976" s="2" t="inlineStr">
        <is>
          <t>FPM-3121G-R3BE</t>
        </is>
      </c>
      <c r="D1976" s="2" t="inlineStr">
        <is>
          <t>Промышленная  мониторная панель FPM-3121G-R3BE 12.1"  TFT LCD LED (интерфейс RS-232), 1024x768, яркость 450 нит," VGA, DVI-D, питание 24В DC клеммная колодка и 12В DC Jack</t>
        </is>
      </c>
      <c r="E1976" s="2">
        <v>8</v>
      </c>
      <c r="F1976" s="2">
        <v>8</v>
      </c>
      <c r="H1976" s="2">
        <v>1588</v>
      </c>
      <c r="I1976" s="2" t="inlineStr">
        <is>
          <t>$</t>
        </is>
      </c>
      <c r="J1976" s="2">
        <f>HYPERLINK("https://app.astro.lead-studio.pro/product/573726ab-4e7e-4c13-b6ea-f43e5fc7069c")</f>
      </c>
    </row>
    <row r="1977" spans="1:10" customHeight="0">
      <c r="A1977" s="2" t="inlineStr">
        <is>
          <t>Периферийные устройства (для ПромПК)</t>
        </is>
      </c>
      <c r="B1977" s="2" t="inlineStr">
        <is>
          <t>Advantech</t>
        </is>
      </c>
      <c r="C1977" s="2" t="inlineStr">
        <is>
          <t>FPM-3171G-R3BE</t>
        </is>
      </c>
      <c r="D1977" s="2" t="inlineStr">
        <is>
          <t>Промышленная мониторная панель FPM-3171G-R3BE   8U Rackmount 17" SXGA with Resistive Touchscreen, Direct-VGA and DVI Ports, and Wide Operating Temperature Range, Advantech</t>
        </is>
      </c>
      <c r="E1977" s="2">
        <v>3</v>
      </c>
      <c r="F1977" s="2">
        <v>3</v>
      </c>
      <c r="H1977" s="2">
        <v>1683</v>
      </c>
      <c r="I1977" s="2" t="inlineStr">
        <is>
          <t>$</t>
        </is>
      </c>
      <c r="J1977" s="2">
        <f>HYPERLINK("https://app.astro.lead-studio.pro/product/9729acd0-1cd7-4d4e-aa47-2b6b7564db06")</f>
      </c>
    </row>
    <row r="1978" spans="1:10" customHeight="0">
      <c r="A1978" s="2" t="inlineStr">
        <is>
          <t>Периферийные устройства (для ПромПК)</t>
        </is>
      </c>
      <c r="B1978" s="2" t="inlineStr">
        <is>
          <t>Advantech</t>
        </is>
      </c>
      <c r="C1978" s="2" t="inlineStr">
        <is>
          <t>IDK-1119R-35SXA1E</t>
        </is>
      </c>
      <c r="D1978" s="2" t="inlineStr">
        <is>
          <t>Промышленная мониторная панель DK-1119R-35SXA1E 19"  LED 350N 1280x1024(G) with 5W touch 19" LCD supports 1280x1024 pixels and wide operating temperature (0 ~ 50°C) Brightness of 350 cd/m2 with LED backlight 5-wire resistive touch solution High contrast ratio of 1000: 1 High uniformity of 80%</t>
        </is>
      </c>
      <c r="E1978" s="2">
        <v>2</v>
      </c>
      <c r="F1978" s="2">
        <v>2</v>
      </c>
      <c r="H1978" s="2">
        <v>586</v>
      </c>
      <c r="I1978" s="2" t="inlineStr">
        <is>
          <t>$</t>
        </is>
      </c>
      <c r="J1978" s="2">
        <f>HYPERLINK("https://app.astro.lead-studio.pro/product/522da494-427b-4f5f-bfbc-2646a351be5a")</f>
      </c>
    </row>
    <row r="1979" spans="1:10" customHeight="0">
      <c r="A1979" s="2" t="inlineStr">
        <is>
          <t>Периферийные устройства (для ПромПК)</t>
        </is>
      </c>
      <c r="B1979" s="2" t="inlineStr">
        <is>
          <t>Geshem</t>
        </is>
      </c>
      <c r="C1979" s="2" t="inlineStr">
        <is>
          <t>PDA-GS0532W</t>
        </is>
      </c>
      <c r="D1979" s="2" t="inlineStr">
        <is>
          <t>Планшет промышленный Geshem 5" Android with Support 12.0 OS google play/ 1D/2D Scanner/ IP67 Level</t>
        </is>
      </c>
      <c r="E1979" s="2">
        <v>1</v>
      </c>
      <c r="F1979" s="2">
        <v>1</v>
      </c>
      <c r="H1979" s="2">
        <v>432</v>
      </c>
      <c r="I1979" s="2" t="inlineStr">
        <is>
          <t>$</t>
        </is>
      </c>
      <c r="J1979" s="2">
        <f>HYPERLINK("https://app.astro.lead-studio.pro/product/7897ccb1-7adc-4d6b-a160-021c020a1a24")</f>
      </c>
    </row>
    <row r="1980" spans="1:10" customHeight="0">
      <c r="A1980" s="2" t="inlineStr">
        <is>
          <t>Периферийные устройства (для ПромПК)</t>
        </is>
      </c>
      <c r="B1980" s="2" t="inlineStr">
        <is>
          <t>Geshem</t>
        </is>
      </c>
      <c r="C1980" s="2" t="inlineStr">
        <is>
          <t>PDA-GS0533W</t>
        </is>
      </c>
      <c r="D1980" s="2" t="inlineStr">
        <is>
          <t>Планшет промышленный Geshem 5.7" Android with Support 12.0 OS google play/ M30 1D/2D Scanner/ IP67 Level </t>
        </is>
      </c>
      <c r="E1980" s="2">
        <v>1</v>
      </c>
      <c r="F1980" s="2">
        <v>1</v>
      </c>
      <c r="H1980" s="2">
        <v>463</v>
      </c>
      <c r="I1980" s="2" t="inlineStr">
        <is>
          <t>$</t>
        </is>
      </c>
      <c r="J1980" s="2">
        <f>HYPERLINK("https://app.astro.lead-studio.pro/product/b09fc651-8fd6-4bf8-9eff-926df233e6ea")</f>
      </c>
    </row>
    <row r="1981" spans="1:10" customHeight="0">
      <c r="A1981" s="2" t="inlineStr">
        <is>
          <t>Периферийные устройства (для ПромПК)</t>
        </is>
      </c>
      <c r="B1981" s="2" t="inlineStr">
        <is>
          <t>Geshem</t>
        </is>
      </c>
      <c r="C1981" s="2" t="inlineStr">
        <is>
          <t>TPC-GS1051HT</t>
        </is>
      </c>
      <c r="D1981" s="2" t="inlineStr">
        <is>
          <t>Планшет промышленный Geshem Промышленный планшет 10" TFT-LCD 1280*800 Intel celeron N2930 (4GB+64GB up to 512GB) OS option, IP65 10inch,N 2390 CP, 4GB+ 64Gm , Windows10 pro</t>
        </is>
      </c>
      <c r="E1981" s="2">
        <v>1</v>
      </c>
      <c r="F1981" s="2">
        <v>1</v>
      </c>
      <c r="H1981" s="2">
        <v>959</v>
      </c>
      <c r="I1981" s="2" t="inlineStr">
        <is>
          <t>$</t>
        </is>
      </c>
      <c r="J1981" s="2">
        <f>HYPERLINK("https://app.astro.lead-studio.pro/product/0e88b8c9-1b62-459f-8273-2773a60ce26e")</f>
      </c>
    </row>
    <row r="1982" spans="1:10" customHeight="0">
      <c r="A1982" s="2" t="inlineStr">
        <is>
          <t>Периферийные устройства (для ПромПК)</t>
        </is>
      </c>
      <c r="B1982" s="2" t="inlineStr">
        <is>
          <t>Geshem</t>
        </is>
      </c>
      <c r="C1982" s="2" t="inlineStr">
        <is>
          <t>TPC-GS1081</t>
        </is>
      </c>
      <c r="D1982" s="2" t="inlineStr">
        <is>
          <t>Планшет промышленный Geshem Промышленный планшет 10" TFT-LCD 1280*800 (4GB+64GB) Windows 10 10000mAh, IP67 10inch,4GB+ 64Gm , Windows10 pro,10000mAh,IP67,1*U SB Type C(USB OTG+Charging) 1*USB 2.0, TYPE A</t>
        </is>
      </c>
      <c r="E1982" s="2">
        <v>1</v>
      </c>
      <c r="F1982" s="2">
        <v>1</v>
      </c>
      <c r="H1982" s="2">
        <v>745</v>
      </c>
      <c r="I1982" s="2" t="inlineStr">
        <is>
          <t>$</t>
        </is>
      </c>
      <c r="J1982" s="2">
        <f>HYPERLINK("https://app.astro.lead-studio.pro/product/fdd5183b-45b1-45ba-9a2e-8960738f18f5")</f>
      </c>
    </row>
    <row r="1983" spans="1:10" customHeight="0">
      <c r="A1983" s="2" t="inlineStr">
        <is>
          <t>Промышленные компьютеры</t>
        </is>
      </c>
      <c r="B1983" s="2" t="inlineStr">
        <is>
          <t>Advantech</t>
        </is>
      </c>
      <c r="C1983" s="2" t="inlineStr">
        <is>
          <t>DS-200GB-T0A1E||after test</t>
        </is>
      </c>
      <c r="D1983" s="2" t="inlineStr">
        <is>
          <t>Платформа системного блока Advantech after test DS-200GB-T0A1E Advantech SDM Signage Player, Intel i3 8100H, 2xDDR4 2400/2666MHz SODIMM, 1xMini DP, 4xUSB3.1, 1xM.2 2242 M Key, 1xRJ-45 Advantech</t>
        </is>
      </c>
      <c r="E1983" s="2">
        <v>1</v>
      </c>
      <c r="F1983" s="2">
        <v>1</v>
      </c>
      <c r="H1983" s="2">
        <v>874</v>
      </c>
      <c r="I1983" s="2" t="inlineStr">
        <is>
          <t>$</t>
        </is>
      </c>
      <c r="J1983" s="2">
        <f>HYPERLINK("https://app.astro.lead-studio.pro/product/2afc3330-9fc8-4069-af19-745ba34e2bdd")</f>
      </c>
    </row>
    <row r="1984" spans="1:10" customHeight="0">
      <c r="A1984" s="2" t="inlineStr">
        <is>
          <t>Промышленные компьютеры</t>
        </is>
      </c>
      <c r="B1984" s="2" t="inlineStr">
        <is>
          <t>Advantech</t>
        </is>
      </c>
      <c r="C1984" s="2" t="inlineStr">
        <is>
          <t>ARK-2250L-U6A4</t>
        </is>
      </c>
      <c r="D1984" s="2" t="inlineStr">
        <is>
          <t>Платформа системного блока с ЦПУ Advantech ARK-2250L-U6A4 Intel 6th/7th Generation Core™ i3/i5/i7 Modular Fanless Box PC, установлен ЦПУ Intel Core i7-6600U (требуется установка батарейки CR2032)</t>
        </is>
      </c>
      <c r="E1984" s="2">
        <v>1</v>
      </c>
      <c r="F1984" s="2">
        <v>1</v>
      </c>
      <c r="H1984" s="2">
        <v>2201</v>
      </c>
      <c r="I1984" s="2" t="inlineStr">
        <is>
          <t>$</t>
        </is>
      </c>
      <c r="J1984" s="2">
        <f>HYPERLINK("https://app.astro.lead-studio.pro/product/7772ed4b-6ffb-4e06-ad15-feb6412e35fe")</f>
      </c>
    </row>
    <row r="1985" spans="1:10" customHeight="0">
      <c r="A1985" s="2" t="inlineStr">
        <is>
          <t>Промышленные компьютеры</t>
        </is>
      </c>
      <c r="B1985" s="2" t="inlineStr">
        <is>
          <t>Advantech</t>
        </is>
      </c>
      <c r="C1985" s="2" t="inlineStr">
        <is>
          <t>ARK-3520L-U8A1E</t>
        </is>
      </c>
      <c r="D1985" s="2" t="inlineStr">
        <is>
          <t>Платформа системного блока с ЦПУ Advantech ARK-3520L-U8A1E High performance Fanless Embedded Box PC CPU installed Intel Core i7-6820EQ 2.8ГГц CPU installed Intel Core i7-6820EQ 2.8ГГц, до 32Гб DDR4 RAM, VGA, HDMI, 2xGbE LAN, 8xCOM, 6xUSB 3.0, 2xUSB 2.0, DIO, mSATA, отсек 2.5» SATA, опционально 2xPCI и 1xPCIe x4, 2xMini-PCIe, 12В DC.</t>
        </is>
      </c>
      <c r="E1985" s="2">
        <v>2</v>
      </c>
      <c r="F1985" s="2">
        <v>2</v>
      </c>
      <c r="H1985" s="2">
        <v>2239</v>
      </c>
      <c r="I1985" s="2" t="inlineStr">
        <is>
          <t>$</t>
        </is>
      </c>
      <c r="J1985" s="2">
        <f>HYPERLINK("https://app.astro.lead-studio.pro/product/ee109511-6aed-40c5-b7b2-d531ee492707")</f>
      </c>
    </row>
    <row r="1986" spans="1:10" customHeight="0">
      <c r="A1986" s="2" t="inlineStr">
        <is>
          <t>Deep Robotics</t>
        </is>
      </c>
      <c r="B1986" s="2" t="inlineStr">
        <is>
          <t>Deep Robotics</t>
        </is>
      </c>
      <c r="C1986" s="2" t="inlineStr">
        <is>
          <t>DR-L3_P</t>
        </is>
      </c>
      <c r="D1986" s="2" t="inlineStr">
        <is>
          <t>Робот Deep Robotics Бионический четырехопорный робот бренда DeepRobotics модели Lite3 версии Pro </t>
        </is>
      </c>
      <c r="E1986" s="2">
        <v>2</v>
      </c>
      <c r="F1986" s="2">
        <v>2</v>
      </c>
      <c r="H1986" s="2">
        <v>13644</v>
      </c>
      <c r="I1986" s="2" t="inlineStr">
        <is>
          <t>$</t>
        </is>
      </c>
      <c r="J1986" s="2">
        <f>HYPERLINK("https://app.astro.lead-studio.pro/product/24c9870a-f8f2-42e3-b6d1-5034ba1226a4")</f>
      </c>
    </row>
    <row r="1987" spans="1:10" customHeight="0">
      <c r="A1987" s="2" t="inlineStr">
        <is>
          <t>KEENON Robotics</t>
        </is>
      </c>
      <c r="B1987" s="2" t="inlineStr">
        <is>
          <t>KEENON Robotics</t>
        </is>
      </c>
      <c r="C1987" s="2" t="inlineStr">
        <is>
          <t>Dinerbot T10</t>
        </is>
      </c>
      <c r="D1987" s="2" t="inlineStr">
        <is>
          <t>Сервисный робот-доставщик Keenon Robotics модели Dinerbot T10</t>
        </is>
      </c>
      <c r="E1987" s="2">
        <v>1</v>
      </c>
      <c r="F1987" s="2">
        <v>1</v>
      </c>
      <c r="H1987" s="2">
        <v>12781</v>
      </c>
      <c r="I1987" s="2" t="inlineStr">
        <is>
          <t>$</t>
        </is>
      </c>
      <c r="J1987" s="2">
        <f>HYPERLINK("https://app.astro.lead-studio.pro/product/12c4567b-46c3-4285-8e5e-a857b8a2aba0")</f>
      </c>
    </row>
    <row r="1988" spans="1:10" customHeight="0">
      <c r="A1988" s="2" t="inlineStr">
        <is>
          <t>KEENON Robotics</t>
        </is>
      </c>
      <c r="B1988" s="2" t="inlineStr">
        <is>
          <t>KEENON Robotics</t>
        </is>
      </c>
      <c r="C1988" s="2" t="inlineStr">
        <is>
          <t>Kleenbot C30</t>
        </is>
      </c>
      <c r="D1988" s="2" t="inlineStr">
        <is>
          <t>Сервисный робот-уборщик Keenon Robotics модели Kleenbot C30</t>
        </is>
      </c>
      <c r="E1988" s="2">
        <v>1</v>
      </c>
      <c r="F1988" s="2">
        <v>1</v>
      </c>
      <c r="H1988" s="2">
        <v>12141</v>
      </c>
      <c r="I1988" s="2" t="inlineStr">
        <is>
          <t>$</t>
        </is>
      </c>
      <c r="J1988" s="2">
        <f>HYPERLINK("https://app.astro.lead-studio.pro/product/63938369-83a9-46ba-954f-f6ac3327d92d")</f>
      </c>
    </row>
    <row r="1989" spans="1:10" customHeight="0">
      <c r="A1989" s="2" t="inlineStr">
        <is>
          <t>Petoi</t>
        </is>
      </c>
      <c r="B1989" s="2" t="inlineStr">
        <is>
          <t>Petoi</t>
        </is>
      </c>
      <c r="C1989" s="2" t="inlineStr">
        <is>
          <t>Bittle_STEM</t>
        </is>
      </c>
      <c r="D1989" s="2" t="inlineStr">
        <is>
          <t>Интерактивный робот-собака Petoi BITTLE STEM KIT</t>
        </is>
      </c>
      <c r="E1989" s="2">
        <v>29</v>
      </c>
      <c r="F1989" s="2">
        <v>29</v>
      </c>
      <c r="H1989" s="2">
        <v>444</v>
      </c>
      <c r="I1989" s="2" t="inlineStr">
        <is>
          <t>$</t>
        </is>
      </c>
      <c r="J1989" s="2">
        <f>HYPERLINK("https://app.astro.lead-studio.pro/product/f476da42-47e6-412a-8166-cc75fdb23727")</f>
      </c>
    </row>
    <row r="1990" spans="1:10" customHeight="0">
      <c r="A1990" s="2" t="inlineStr">
        <is>
          <t>Petoi</t>
        </is>
      </c>
      <c r="B1990" s="2" t="inlineStr">
        <is>
          <t>Petoi</t>
        </is>
      </c>
      <c r="C1990" s="2" t="inlineStr">
        <is>
          <t>Bittle_X</t>
        </is>
      </c>
      <c r="D1990" s="2" t="inlineStr">
        <is>
          <t>Интерактивный робот-собака Petoi BITTLE X</t>
        </is>
      </c>
      <c r="E1990" s="2">
        <v>11</v>
      </c>
      <c r="F1990" s="2">
        <v>11</v>
      </c>
      <c r="H1990" s="2">
        <v>463</v>
      </c>
      <c r="I1990" s="2" t="inlineStr">
        <is>
          <t>$</t>
        </is>
      </c>
      <c r="J1990" s="2">
        <f>HYPERLINK("https://app.astro.lead-studio.pro/product/e392c443-0de3-4ed5-bc07-f14310f9d3d1")</f>
      </c>
    </row>
    <row r="1991" spans="1:10" customHeight="0">
      <c r="A1991" s="2" t="inlineStr">
        <is>
          <t>Pudu Robotics</t>
        </is>
      </c>
      <c r="B1991" s="2" t="inlineStr">
        <is>
          <t>Pudu</t>
        </is>
      </c>
      <c r="C1991" s="2" t="inlineStr">
        <is>
          <t>BL101</t>
        </is>
      </c>
      <c r="D1991" s="2" t="inlineStr">
        <is>
          <t>Робот Pudu Robotics BellaBot Advanced with face recognition(BL101)</t>
        </is>
      </c>
      <c r="E1991" s="2">
        <v>1</v>
      </c>
      <c r="F1991" s="2">
        <v>1</v>
      </c>
      <c r="H1991" s="2">
        <v>8664</v>
      </c>
      <c r="I1991" s="2" t="inlineStr">
        <is>
          <t>$</t>
        </is>
      </c>
      <c r="J1991" s="2">
        <f>HYPERLINK("https://app.astro.lead-studio.pro/product/f43211f2-8350-427e-9aa2-8660fdf4a219")</f>
      </c>
    </row>
    <row r="1992" spans="1:10" customHeight="0">
      <c r="A1992" s="2" t="inlineStr">
        <is>
          <t>Pudu Robotics</t>
        </is>
      </c>
      <c r="B1992" s="2" t="inlineStr">
        <is>
          <t>Pudu</t>
        </is>
      </c>
      <c r="C1992" s="2" t="inlineStr">
        <is>
          <t>HL100</t>
        </is>
      </c>
      <c r="D1992" s="2" t="inlineStr">
        <is>
          <t>Робот Pudu Robotics HolaBot HL100 Standard Model HL-BT-02</t>
        </is>
      </c>
      <c r="E1992" s="2">
        <v>1</v>
      </c>
      <c r="F1992" s="2">
        <v>1</v>
      </c>
      <c r="H1992" s="2">
        <v>12005</v>
      </c>
      <c r="I1992" s="2" t="inlineStr">
        <is>
          <t>$</t>
        </is>
      </c>
      <c r="J1992" s="2">
        <f>HYPERLINK("https://app.astro.lead-studio.pro/product/bfb3dc69-6776-46a0-9ff4-8c83ea6d9b03")</f>
      </c>
    </row>
    <row r="1993" spans="1:10" customHeight="0">
      <c r="A1993" s="2" t="inlineStr">
        <is>
          <t>Pudu Robotics</t>
        </is>
      </c>
      <c r="B1993" s="2" t="inlineStr">
        <is>
          <t>Pudu</t>
        </is>
      </c>
      <c r="C1993" s="2" t="inlineStr">
        <is>
          <t>KT-BT-BY-01</t>
        </is>
      </c>
      <c r="D1993" s="2" t="inlineStr">
        <is>
          <t>Робот Pudu Robotics KettyBot (black-yellow) PNT Standard Mode</t>
        </is>
      </c>
      <c r="E1993" s="2">
        <v>1</v>
      </c>
      <c r="F1993" s="2">
        <v>1</v>
      </c>
      <c r="H1993" s="2">
        <v>7630</v>
      </c>
      <c r="I1993" s="2" t="inlineStr">
        <is>
          <t>$</t>
        </is>
      </c>
      <c r="J1993" s="2">
        <f>HYPERLINK("https://app.astro.lead-studio.pro/product/7a231c7d-7928-4111-b503-0a0a12bff83f")</f>
      </c>
    </row>
    <row r="1994" spans="1:10" customHeight="0">
      <c r="A1994" s="2" t="inlineStr">
        <is>
          <t>Pudu Robotics</t>
        </is>
      </c>
      <c r="B1994" s="2" t="inlineStr">
        <is>
          <t>Pudu</t>
        </is>
      </c>
      <c r="C1994" s="2" t="inlineStr">
        <is>
          <t>KT-BT-WY-01</t>
        </is>
      </c>
      <c r="D1994" s="2" t="inlineStr">
        <is>
          <t>Робот Pudu Robotics KettyBot (white-yellow) PNT Standard Mode</t>
        </is>
      </c>
      <c r="E1994" s="2">
        <v>1</v>
      </c>
      <c r="F1994" s="2">
        <v>1</v>
      </c>
      <c r="H1994" s="2">
        <v>7518</v>
      </c>
      <c r="I1994" s="2" t="inlineStr">
        <is>
          <t>$</t>
        </is>
      </c>
      <c r="J1994" s="2">
        <f>HYPERLINK("https://app.astro.lead-studio.pro/product/3ad37d97-a34a-4b04-b2ef-714a2eb8e2da")</f>
      </c>
    </row>
    <row r="1995" spans="1:10" customHeight="0">
      <c r="A1995" s="2" t="inlineStr">
        <is>
          <t>Pudu Robotics</t>
        </is>
      </c>
      <c r="B1995" s="2" t="inlineStr">
        <is>
          <t>Pudu</t>
        </is>
      </c>
      <c r="C1995" s="2" t="inlineStr">
        <is>
          <t>PD9</t>
        </is>
      </c>
      <c r="D1995" s="2" t="inlineStr">
        <is>
          <t>Робот Pudu Robotics PuduBot PD9  Anti-sunlight model  PD-BT-02</t>
        </is>
      </c>
      <c r="E1995" s="2">
        <v>1</v>
      </c>
      <c r="F1995" s="2">
        <v>1</v>
      </c>
      <c r="H1995" s="2">
        <v>7993</v>
      </c>
      <c r="I1995" s="2" t="inlineStr">
        <is>
          <t>$</t>
        </is>
      </c>
      <c r="J1995" s="2">
        <f>HYPERLINK("https://app.astro.lead-studio.pro/product/6bc06801-65c0-426f-8660-fc0aeb89f90c")</f>
      </c>
    </row>
    <row r="1996" spans="1:10" customHeight="0">
      <c r="A1996" s="2" t="inlineStr">
        <is>
          <t>Unitree</t>
        </is>
      </c>
      <c r="B1996" s="2" t="inlineStr">
        <is>
          <t>Unitree</t>
        </is>
      </c>
      <c r="C1996" s="2" t="inlineStr">
        <is>
          <t>A101-BV</t>
        </is>
      </c>
      <c r="D1996" s="2" t="inlineStr">
        <is>
          <t>Робот Unitree A1 Quadruped robot четырехопорный робот модели А 1 комплектации Basic (A101-BV)</t>
        </is>
      </c>
      <c r="E1996" s="2">
        <v>1</v>
      </c>
      <c r="F1996" s="2">
        <v>1</v>
      </c>
      <c r="H1996" s="2">
        <v>11143</v>
      </c>
      <c r="I1996" s="2" t="inlineStr">
        <is>
          <t>$</t>
        </is>
      </c>
      <c r="J1996" s="2">
        <f>HYPERLINK("https://app.astro.lead-studio.pro/product/a0c01f8e-7bf1-4582-91db-7e72f59204fa")</f>
      </c>
    </row>
    <row r="1997" spans="1:10" customHeight="0">
      <c r="A1997" s="2" t="inlineStr">
        <is>
          <t>Unitree</t>
        </is>
      </c>
      <c r="B1997" s="2" t="inlineStr">
        <is>
          <t>Unitree</t>
        </is>
      </c>
      <c r="C1997" s="2" t="inlineStr">
        <is>
          <t>A101-EXP</t>
        </is>
      </c>
      <c r="D1997" s="2" t="inlineStr">
        <is>
          <t>Бионический четырехопорный робот бренда Unitree модели A1 версии Explorer</t>
        </is>
      </c>
      <c r="E1997" s="2">
        <v>1</v>
      </c>
      <c r="F1997" s="2">
        <v>1</v>
      </c>
      <c r="H1997" s="2">
        <v>14506</v>
      </c>
      <c r="I1997" s="2" t="inlineStr">
        <is>
          <t>$</t>
        </is>
      </c>
      <c r="J1997" s="2">
        <f>HYPERLINK("https://app.astro.lead-studio.pro/product/796fb1b1-04ed-4d5e-bf0c-b29f62779327")</f>
      </c>
    </row>
    <row r="1998" spans="1:10" customHeight="0">
      <c r="A1998" s="2" t="inlineStr">
        <is>
          <t>Unitree</t>
        </is>
      </c>
      <c r="B1998" s="2" t="inlineStr">
        <is>
          <t>Unitree</t>
        </is>
      </c>
      <c r="C1998" s="2" t="inlineStr">
        <is>
          <t>G1 BASIC</t>
        </is>
      </c>
      <c r="D1998" s="2" t="inlineStr">
        <is>
          <t>Программно-аппаратный комплекс робот Unitree G1 версия Basic</t>
        </is>
      </c>
      <c r="E1998" s="2">
        <v>2</v>
      </c>
      <c r="F1998" s="2">
        <v>2</v>
      </c>
      <c r="H1998" s="2">
        <v>28411</v>
      </c>
      <c r="I1998" s="2" t="inlineStr">
        <is>
          <t>$</t>
        </is>
      </c>
      <c r="J1998" s="2">
        <f>HYPERLINK("https://app.astro.lead-studio.pro/product/b009b62d-1931-414f-b36a-836fd075f394")</f>
      </c>
    </row>
    <row r="1999" spans="1:10" customHeight="0">
      <c r="A1999" s="2" t="inlineStr">
        <is>
          <t>Unitree</t>
        </is>
      </c>
      <c r="B1999" s="2" t="inlineStr">
        <is>
          <t>Unitree</t>
        </is>
      </c>
      <c r="C1999" s="2" t="inlineStr">
        <is>
          <t>G1 Edu Standard</t>
        </is>
      </c>
      <c r="D1999" s="2" t="inlineStr">
        <is>
          <t>Программно-аппаратный комплекс робот Unitree G1 версия EDU Standart</t>
        </is>
      </c>
      <c r="E1999" s="2">
        <v>1</v>
      </c>
      <c r="F1999" s="2">
        <v>1</v>
      </c>
      <c r="H1999" s="2">
        <v>56037</v>
      </c>
      <c r="I1999" s="2" t="inlineStr">
        <is>
          <t>$</t>
        </is>
      </c>
      <c r="J1999" s="2">
        <f>HYPERLINK("https://app.astro.lead-studio.pro/product/c9cf7332-81dc-4912-b4c8-142ab85f63fa")</f>
      </c>
    </row>
    <row r="2000" spans="1:10" customHeight="0">
      <c r="A2000" s="2" t="inlineStr">
        <is>
          <t>Unitree</t>
        </is>
      </c>
      <c r="B2000" s="2" t="inlineStr">
        <is>
          <t>Unitree</t>
        </is>
      </c>
      <c r="C2000" s="2" t="inlineStr">
        <is>
          <t>GO1-EDPL</t>
        </is>
      </c>
      <c r="D2000" s="2" t="inlineStr">
        <is>
          <t>Бионический четырехопорный робот бренда Unitree модели Go1 версии Edu Plus</t>
        </is>
      </c>
      <c r="E2000" s="2">
        <v>1</v>
      </c>
      <c r="F2000" s="2">
        <v>1</v>
      </c>
      <c r="H2000" s="2">
        <v>14324</v>
      </c>
      <c r="I2000" s="2" t="inlineStr">
        <is>
          <t>$</t>
        </is>
      </c>
      <c r="J2000" s="2">
        <f>HYPERLINK("https://app.astro.lead-studio.pro/product/31b561cf-7a4e-450d-b4fd-1f7814471e1a")</f>
      </c>
    </row>
    <row r="2001" spans="1:10" customHeight="0">
      <c r="A2001" s="2" t="inlineStr">
        <is>
          <t>Unitree</t>
        </is>
      </c>
      <c r="B2001" s="2" t="inlineStr">
        <is>
          <t>Unitree</t>
        </is>
      </c>
      <c r="C2001" s="2" t="inlineStr">
        <is>
          <t>GO1-EDU BLACK</t>
        </is>
      </c>
      <c r="D2001" s="2" t="inlineStr">
        <is>
          <t>Робот Unitree Go1 Quadruped robot black Go1 Quadruped robot четырехопорный робот модели Go1 комплектации Edu (GO1-EDU BLACK)</t>
        </is>
      </c>
      <c r="E2001" s="2">
        <v>1</v>
      </c>
      <c r="F2001" s="2">
        <v>1</v>
      </c>
      <c r="H2001" s="2">
        <v>13831</v>
      </c>
      <c r="I2001" s="2" t="inlineStr">
        <is>
          <t>$</t>
        </is>
      </c>
      <c r="J2001" s="2">
        <f>HYPERLINK("https://app.astro.lead-studio.pro/product/a1ba5f9a-b2d9-4a44-94c3-6e7ee92fd4c9")</f>
      </c>
    </row>
    <row r="2002" spans="1:10" customHeight="0">
      <c r="A2002" s="2" t="inlineStr">
        <is>
          <t>Unitree</t>
        </is>
      </c>
      <c r="B2002" s="2" t="inlineStr">
        <is>
          <t>Unitree</t>
        </is>
      </c>
      <c r="C2002" s="2" t="inlineStr">
        <is>
          <t>GO1-PRO</t>
        </is>
      </c>
      <c r="D2002" s="2" t="inlineStr">
        <is>
          <t>Бионический четырехопорный робот бренда Unitree модели Go1 версии Pro</t>
        </is>
      </c>
      <c r="E2002" s="2">
        <v>1</v>
      </c>
      <c r="F2002" s="2">
        <v>1</v>
      </c>
      <c r="H2002" s="2">
        <v>4139</v>
      </c>
      <c r="I2002" s="2" t="inlineStr">
        <is>
          <t>$</t>
        </is>
      </c>
      <c r="J2002" s="2">
        <f>HYPERLINK("https://app.astro.lead-studio.pro/product/4a80e2a3-c5f5-4e73-ad16-946f66249418")</f>
      </c>
    </row>
    <row r="2003" spans="1:10" customHeight="0">
      <c r="A2003" s="2" t="inlineStr">
        <is>
          <t>Unitree</t>
        </is>
      </c>
      <c r="B2003" s="2" t="inlineStr">
        <is>
          <t>Unitree</t>
        </is>
      </c>
      <c r="C2003" s="2" t="inlineStr">
        <is>
          <t>GO2-EDU</t>
        </is>
      </c>
      <c r="D2003" s="2" t="inlineStr">
        <is>
          <t>Бионический четырехопорный робот бренда Unitree модели Go2 версии EDU</t>
        </is>
      </c>
      <c r="E2003" s="2">
        <v>3</v>
      </c>
      <c r="F2003" s="2">
        <v>3</v>
      </c>
      <c r="H2003" s="2">
        <v>13871</v>
      </c>
      <c r="I2003" s="2" t="inlineStr">
        <is>
          <t>$</t>
        </is>
      </c>
      <c r="J2003" s="2">
        <f>HYPERLINK("https://app.astro.lead-studio.pro/product/6a184b97-2e98-4e78-8328-1db8331c2b73")</f>
      </c>
    </row>
    <row r="2004" spans="1:10" customHeight="0">
      <c r="A2004" s="2" t="inlineStr">
        <is>
          <t>Аксессуары для сетевого оборудования</t>
        </is>
      </c>
      <c r="B2004" s="2" t="inlineStr">
        <is>
          <t>D-Link</t>
        </is>
      </c>
      <c r="C2004" s="2" t="inlineStr">
        <is>
          <t>DXS-3600-PWRDC-FB/A1A</t>
        </is>
      </c>
      <c r="D2004" s="2" t="inlineStr">
        <is>
          <t>Блок питания D-Link DXS-3600-PWRDC-FB/A1A Источник питания 300 Вт постоянного тока с вентилятором (направление воздушного потока от передней панели к задней) для коммутаторов DXS-3600-16S, DXS-3600-32S, DXS-3400-24SC и DXS-3400-24TC.</t>
        </is>
      </c>
      <c r="E2004" s="2">
        <v>3</v>
      </c>
      <c r="F2004" s="2">
        <v>3</v>
      </c>
      <c r="H2004" s="2">
        <v>530</v>
      </c>
      <c r="I2004" s="2" t="inlineStr">
        <is>
          <t>$</t>
        </is>
      </c>
      <c r="J2004" s="2">
        <f>HYPERLINK("https://app.astro.lead-studio.pro/product/54413a7d-8cfb-4784-8593-b1358654a984")</f>
      </c>
    </row>
    <row r="2005" spans="1:10" customHeight="0">
      <c r="A2005" s="2" t="inlineStr">
        <is>
          <t>Аксессуары для сетевого оборудования</t>
        </is>
      </c>
      <c r="B2005" s="2" t="inlineStr">
        <is>
          <t>HPE</t>
        </is>
      </c>
      <c r="C2005" s="2" t="inlineStr">
        <is>
          <t>JL085A</t>
        </is>
      </c>
      <c r="D2005" s="2" t="inlineStr">
        <is>
          <t>Блок питания HPE JL085A к коммутатору Aruba X371 12VDC 250W PS</t>
        </is>
      </c>
      <c r="E2005" s="2">
        <v>2</v>
      </c>
      <c r="F2005" s="2">
        <v>2</v>
      </c>
      <c r="H2005" s="2">
        <v>481</v>
      </c>
      <c r="I2005" s="2" t="inlineStr">
        <is>
          <t>$</t>
        </is>
      </c>
      <c r="J2005" s="2">
        <f>HYPERLINK("https://app.astro.lead-studio.pro/product/7d305460-e52a-42ac-90a1-9e751f58fbc4")</f>
      </c>
    </row>
    <row r="2006" spans="1:10" customHeight="0">
      <c r="A2006" s="2" t="inlineStr">
        <is>
          <t>Аксессуары для сетевого оборудования</t>
        </is>
      </c>
      <c r="B2006" s="2" t="inlineStr">
        <is>
          <t>HPE</t>
        </is>
      </c>
      <c r="C2006" s="2" t="inlineStr">
        <is>
          <t>JL087A</t>
        </is>
      </c>
      <c r="D2006" s="2" t="inlineStr">
        <is>
          <t>Блок питания HPE X372 54VDC 1050W Power Supply</t>
        </is>
      </c>
      <c r="E2006" s="2">
        <v>2</v>
      </c>
      <c r="F2006" s="2">
        <v>2</v>
      </c>
      <c r="H2006" s="2">
        <v>716</v>
      </c>
      <c r="I2006" s="2" t="inlineStr">
        <is>
          <t>$</t>
        </is>
      </c>
      <c r="J2006" s="2">
        <f>HYPERLINK("https://app.astro.lead-studio.pro/product/47d83e7b-8254-4996-969e-aedbe78347d8")</f>
      </c>
    </row>
    <row r="2007" spans="1:10" customHeight="0">
      <c r="A2007" s="2" t="inlineStr">
        <is>
          <t>Аксессуары для сетевого оборудования</t>
        </is>
      </c>
      <c r="B2007" s="2" t="inlineStr">
        <is>
          <t>H3C</t>
        </is>
      </c>
      <c r="C2007" s="2" t="inlineStr">
        <is>
          <t>LSVM1AC650</t>
        </is>
      </c>
      <c r="D2007" s="2" t="inlineStr">
        <is>
          <t>Блок питания H3C LSVM1AC650 650W AC Power Supply Module (Power Panel Side Intake Airflow) </t>
        </is>
      </c>
      <c r="E2007" s="2">
        <v>10</v>
      </c>
      <c r="F2007" s="2">
        <v>10</v>
      </c>
      <c r="H2007" s="2">
        <v>455</v>
      </c>
      <c r="I2007" s="2" t="inlineStr">
        <is>
          <t>$</t>
        </is>
      </c>
      <c r="J2007" s="2">
        <f>HYPERLINK("https://app.astro.lead-studio.pro/product/46bdf314-34c2-47b5-9375-ea929259f0d6")</f>
      </c>
    </row>
    <row r="2008" spans="1:10" customHeight="0">
      <c r="A2008" s="2" t="inlineStr">
        <is>
          <t>Аксессуары для сетевого оборудования</t>
        </is>
      </c>
      <c r="B2008" s="2" t="inlineStr">
        <is>
          <t>CISCO</t>
        </is>
      </c>
      <c r="C2008" s="2" t="inlineStr">
        <is>
          <t>NXA-PAC-1100W-PE2=</t>
        </is>
      </c>
      <c r="D2008" s="2" t="inlineStr">
        <is>
          <t>Блок питания CISCO Power Supply 1100W AC, Port Side Exhaust, for Nexus 9000 series, NXA-PAC-1100W-PE2= </t>
        </is>
      </c>
      <c r="E2008" s="2">
        <v>4</v>
      </c>
      <c r="F2008" s="2">
        <v>4</v>
      </c>
      <c r="H2008" s="2">
        <v>899</v>
      </c>
      <c r="I2008" s="2" t="inlineStr">
        <is>
          <t>$</t>
        </is>
      </c>
      <c r="J2008" s="2">
        <f>HYPERLINK("https://app.astro.lead-studio.pro/product/d191d0a7-b316-4545-86e8-e88367c9a16c")</f>
      </c>
    </row>
    <row r="2009" spans="1:10" customHeight="0">
      <c r="A2009" s="2" t="inlineStr">
        <is>
          <t>Аксессуары для сетевого оборудования</t>
        </is>
      </c>
      <c r="B2009" s="2" t="inlineStr">
        <is>
          <t>CISCO</t>
        </is>
      </c>
      <c r="C2009" s="2" t="inlineStr">
        <is>
          <t>NXA-PAC-650W-PI=</t>
        </is>
      </c>
      <c r="D2009" s="2" t="inlineStr">
        <is>
          <t>Блок питания CISCO Power Supply 650W AC, Port Side Intake, for Nexus 9000 series, NXA-PAC-650W-PI= </t>
        </is>
      </c>
      <c r="E2009" s="2">
        <v>5</v>
      </c>
      <c r="F2009" s="2">
        <v>5</v>
      </c>
      <c r="H2009" s="2">
        <v>580</v>
      </c>
      <c r="I2009" s="2" t="inlineStr">
        <is>
          <t>$</t>
        </is>
      </c>
      <c r="J2009" s="2">
        <f>HYPERLINK("https://app.astro.lead-studio.pro/product/848e619b-eaad-4dcf-b3f5-00836c881485")</f>
      </c>
    </row>
    <row r="2010" spans="1:10" customHeight="0">
      <c r="A2010" s="2" t="inlineStr">
        <is>
          <t>Аксессуары для сетевого оборудования</t>
        </is>
      </c>
      <c r="B2010" s="2" t="inlineStr">
        <is>
          <t>CISCO</t>
        </is>
      </c>
      <c r="C2010" s="2" t="inlineStr">
        <is>
          <t>PWR-C1-1100WAC-P=</t>
        </is>
      </c>
      <c r="D2010" s="2" t="inlineStr">
        <is>
          <t>Блок питания CISCO 1100W AC 80+ Platinum Config 1 Power Supply, PWR-C1-1100WAC-P </t>
        </is>
      </c>
      <c r="E2010" s="2">
        <v>2</v>
      </c>
      <c r="F2010" s="2">
        <v>2</v>
      </c>
      <c r="H2010" s="2">
        <v>644</v>
      </c>
      <c r="I2010" s="2" t="inlineStr">
        <is>
          <t>$</t>
        </is>
      </c>
      <c r="J2010" s="2">
        <f>HYPERLINK("https://app.astro.lead-studio.pro/product/708b1902-9831-4974-9998-9654f6a8a9ec")</f>
      </c>
    </row>
    <row r="2011" spans="1:10" customHeight="0">
      <c r="A2011" s="2" t="inlineStr">
        <is>
          <t>Аксессуары для сетевого оборудования</t>
        </is>
      </c>
      <c r="B2011" s="2" t="inlineStr">
        <is>
          <t>CISCO</t>
        </is>
      </c>
      <c r="C2011" s="2" t="inlineStr">
        <is>
          <t>PWR-C1-1100WAC-P/2(=)</t>
        </is>
      </c>
      <c r="D2011" s="2" t="inlineStr">
        <is>
          <t>Блок питания CISCO 1100W AC 80+ Platinum Config 1 Secondary Power Supply, PWR-C1-1100WAC-P/2 </t>
        </is>
      </c>
      <c r="E2011" s="2">
        <v>2</v>
      </c>
      <c r="F2011" s="2">
        <v>2</v>
      </c>
      <c r="H2011" s="2">
        <v>895</v>
      </c>
      <c r="I2011" s="2" t="inlineStr">
        <is>
          <t>$</t>
        </is>
      </c>
      <c r="J2011" s="2">
        <f>HYPERLINK("https://app.astro.lead-studio.pro/product/d56994ad-49d0-4807-8a8c-bcb0a38d5335")</f>
      </c>
    </row>
    <row r="2012" spans="1:10" customHeight="0">
      <c r="A2012" s="2" t="inlineStr">
        <is>
          <t>Аксессуары для сетевого оборудования</t>
        </is>
      </c>
      <c r="B2012" s="2" t="inlineStr">
        <is>
          <t>CISCO</t>
        </is>
      </c>
      <c r="C2012" s="2" t="inlineStr">
        <is>
          <t>PWR-C4-950WAC-R</t>
        </is>
      </c>
      <c r="D2012" s="2" t="inlineStr">
        <is>
          <t>Блок питания CISCO 950W AC Config 4 Power Supply front to back cooling, PWR-C4-950WAC-R </t>
        </is>
      </c>
      <c r="E2012" s="2">
        <v>2</v>
      </c>
      <c r="F2012" s="2">
        <v>2</v>
      </c>
      <c r="H2012" s="2">
        <v>1202</v>
      </c>
      <c r="I2012" s="2" t="inlineStr">
        <is>
          <t>$</t>
        </is>
      </c>
      <c r="J2012" s="2">
        <f>HYPERLINK("https://app.astro.lead-studio.pro/product/fff3f4b8-9477-4e43-8f3e-4d5381232aab")</f>
      </c>
    </row>
    <row r="2013" spans="1:10" customHeight="0">
      <c r="A2013" s="2" t="inlineStr">
        <is>
          <t>Аксессуары для сетевого оборудования</t>
        </is>
      </c>
      <c r="B2013" s="2" t="inlineStr">
        <is>
          <t>CISCO</t>
        </is>
      </c>
      <c r="C2013" s="2" t="inlineStr">
        <is>
          <t>PWR-C5-125WAC=</t>
        </is>
      </c>
      <c r="D2013" s="2" t="inlineStr">
        <is>
          <t>Блок питания CISCO 125W AC Config 5 Power Supply , PWR-C5-125WAC=</t>
        </is>
      </c>
      <c r="E2013" s="2">
        <v>4</v>
      </c>
      <c r="F2013" s="2">
        <v>4</v>
      </c>
      <c r="H2013" s="2">
        <v>743</v>
      </c>
      <c r="I2013" s="2" t="inlineStr">
        <is>
          <t>$</t>
        </is>
      </c>
      <c r="J2013" s="2">
        <f>HYPERLINK("https://app.astro.lead-studio.pro/product/7394622c-1834-408e-8501-09e4025683a4")</f>
      </c>
    </row>
    <row r="2014" spans="1:10" customHeight="0">
      <c r="A2014" s="2" t="inlineStr">
        <is>
          <t>Аксессуары для сетевого оборудования</t>
        </is>
      </c>
      <c r="B2014" s="2" t="inlineStr">
        <is>
          <t>CISCO</t>
        </is>
      </c>
      <c r="C2014" s="2" t="inlineStr">
        <is>
          <t>PWR-C5-1KWAC</t>
        </is>
      </c>
      <c r="D2014" s="2" t="inlineStr">
        <is>
          <t>Блок питания CISCO Catalyst 9200 Power Supply 1KW , PWR-C5-1KWAC</t>
        </is>
      </c>
      <c r="E2014" s="2">
        <v>4</v>
      </c>
      <c r="F2014" s="2">
        <v>4</v>
      </c>
      <c r="H2014" s="2">
        <v>1577</v>
      </c>
      <c r="I2014" s="2" t="inlineStr">
        <is>
          <t>$</t>
        </is>
      </c>
      <c r="J2014" s="2">
        <f>HYPERLINK("https://app.astro.lead-studio.pro/product/be7a25de-7d6b-4e49-993e-c761925746a1")</f>
      </c>
    </row>
    <row r="2015" spans="1:10" customHeight="0">
      <c r="A2015" s="2" t="inlineStr">
        <is>
          <t>Аксессуары для сетевого оборудования</t>
        </is>
      </c>
      <c r="B2015" s="2" t="inlineStr">
        <is>
          <t>CISCO</t>
        </is>
      </c>
      <c r="C2015" s="2" t="inlineStr">
        <is>
          <t>PWR-C5-1KWAC=</t>
        </is>
      </c>
      <c r="D2015" s="2" t="inlineStr">
        <is>
          <t>Блок питания CISCO 1KW AC Config 5 Power Supply , PWR-C5-1KWAC=</t>
        </is>
      </c>
      <c r="E2015" s="2">
        <v>1</v>
      </c>
      <c r="F2015" s="2">
        <v>1</v>
      </c>
      <c r="H2015" s="2">
        <v>1566</v>
      </c>
      <c r="I2015" s="2" t="inlineStr">
        <is>
          <t>$</t>
        </is>
      </c>
      <c r="J2015" s="2">
        <f>HYPERLINK("https://app.astro.lead-studio.pro/product/305f90b6-c4bb-422f-8eb3-a5e314d0379a")</f>
      </c>
    </row>
    <row r="2016" spans="1:10" customHeight="0">
      <c r="A2016" s="2" t="inlineStr">
        <is>
          <t>Аксессуары для сетевого оборудования</t>
        </is>
      </c>
      <c r="B2016" s="2" t="inlineStr">
        <is>
          <t>CISCO</t>
        </is>
      </c>
      <c r="C2016" s="2" t="inlineStr">
        <is>
          <t>PWR-C6-125WAC=</t>
        </is>
      </c>
      <c r="D2016" s="2" t="inlineStr">
        <is>
          <t>Блок питания CISCO 125W AC Config 6 Power Supply, PWR-C6-125WAC= </t>
        </is>
      </c>
      <c r="E2016" s="2">
        <v>1</v>
      </c>
      <c r="F2016" s="2">
        <v>1</v>
      </c>
      <c r="H2016" s="2">
        <v>734</v>
      </c>
      <c r="I2016" s="2" t="inlineStr">
        <is>
          <t>$</t>
        </is>
      </c>
      <c r="J2016" s="2">
        <f>HYPERLINK("https://app.astro.lead-studio.pro/product/344da6c9-552d-470e-97ab-7d77f38b9104")</f>
      </c>
    </row>
    <row r="2017" spans="1:10" customHeight="0">
      <c r="A2017" s="2" t="inlineStr">
        <is>
          <t>Аксессуары для сетевого оборудования</t>
        </is>
      </c>
      <c r="B2017" s="2" t="inlineStr">
        <is>
          <t>CISCO</t>
        </is>
      </c>
      <c r="C2017" s="2" t="inlineStr">
        <is>
          <t>C9K-F1-SSD-240G=</t>
        </is>
      </c>
      <c r="D2017" s="2" t="inlineStr">
        <is>
          <t>Твердотельный накопитель SSD CISCO Pluggable SSD storage 240GB for Catalyst C9500 series </t>
        </is>
      </c>
      <c r="E2017" s="2">
        <v>2</v>
      </c>
      <c r="F2017" s="2">
        <v>2</v>
      </c>
      <c r="H2017" s="2">
        <v>1326</v>
      </c>
      <c r="I2017" s="2" t="inlineStr">
        <is>
          <t>$</t>
        </is>
      </c>
      <c r="J2017" s="2">
        <f>HYPERLINK("https://app.astro.lead-studio.pro/product/9bdcc2a6-f648-4494-8fca-4632d7182403")</f>
      </c>
    </row>
    <row r="2018" spans="1:10" customHeight="0">
      <c r="A2018" s="2" t="inlineStr">
        <is>
          <t>Аксессуары для сетевого оборудования</t>
        </is>
      </c>
      <c r="B2018" s="2" t="inlineStr">
        <is>
          <t>H3C</t>
        </is>
      </c>
      <c r="C2018" s="2" t="inlineStr">
        <is>
          <t>QSFP-100G-D-CAB-1M</t>
        </is>
      </c>
      <c r="D2018" s="2" t="inlineStr">
        <is>
          <t>Кабель H3C 100G QSFP28 to 100G QSFP28 1m Passive Cable </t>
        </is>
      </c>
      <c r="E2018" s="2">
        <v>2</v>
      </c>
      <c r="F2018" s="2">
        <v>2</v>
      </c>
      <c r="H2018" s="2">
        <v>414</v>
      </c>
      <c r="I2018" s="2" t="inlineStr">
        <is>
          <t>$</t>
        </is>
      </c>
      <c r="J2018" s="2">
        <f>HYPERLINK("https://app.astro.lead-studio.pro/product/ca8994fa-e088-4042-ba49-283ab02b2733")</f>
      </c>
    </row>
    <row r="2019" spans="1:10" customHeight="0">
      <c r="A2019" s="2" t="inlineStr">
        <is>
          <t>Беспроводное ( Wi-Fi ) оборудование</t>
        </is>
      </c>
      <c r="B2019" s="2" t="inlineStr">
        <is>
          <t>MIKROTIK</t>
        </is>
      </c>
      <c r="C2019" s="2" t="inlineStr">
        <is>
          <t>CCR1009-7G-1C-PC</t>
        </is>
      </c>
      <c r="D2019" s="2" t="inlineStr">
        <is>
          <t>Маршрутизатор MIKROTIK CCR1009-7G-1C-PC Router 19 Rack Mount. Ethernet 7x 10/100/1000 1x SFP/RJ45. Serial. PoE. micrUSB</t>
        </is>
      </c>
      <c r="E2019" s="2">
        <v>50</v>
      </c>
      <c r="F2019" s="2">
        <v>50</v>
      </c>
      <c r="H2019" s="2">
        <v>781</v>
      </c>
      <c r="I2019" s="2" t="inlineStr">
        <is>
          <t>$</t>
        </is>
      </c>
      <c r="J2019" s="2">
        <f>HYPERLINK("https://app.astro.lead-studio.pro/product/69d05d1b-fa6f-4011-a893-deeee3b12a3a")</f>
      </c>
    </row>
    <row r="2020" spans="1:10" customHeight="0">
      <c r="A2020" s="2" t="inlineStr">
        <is>
          <t>Беспроводное ( Wi-Fi ) оборудование</t>
        </is>
      </c>
      <c r="B2020" s="2" t="inlineStr">
        <is>
          <t>MIKROTIK</t>
        </is>
      </c>
      <c r="C2020" s="2" t="inlineStr">
        <is>
          <t>CCR1016-12S-1S+</t>
        </is>
      </c>
      <c r="D2020" s="2" t="inlineStr">
        <is>
          <t>Маршрутизатор MIKROTIK CCR1016-12S-1S+ Router 1U 19" Rack Mount. 12x SFP, 1x SFP+. Serial. PoE. micrUSB, LCD touchscreen</t>
        </is>
      </c>
      <c r="E2020" s="2">
        <v>50</v>
      </c>
      <c r="F2020" s="2">
        <v>50</v>
      </c>
      <c r="H2020" s="2">
        <v>1203</v>
      </c>
      <c r="I2020" s="2" t="inlineStr">
        <is>
          <t>$</t>
        </is>
      </c>
      <c r="J2020" s="2">
        <f>HYPERLINK("https://app.astro.lead-studio.pro/product/fa70ba84-fd24-4b4f-a221-a4d0a1eeed9d")</f>
      </c>
    </row>
    <row r="2021" spans="1:10" customHeight="0">
      <c r="A2021" s="2" t="inlineStr">
        <is>
          <t>Беспроводное ( Wi-Fi ) оборудование</t>
        </is>
      </c>
      <c r="B2021" s="2" t="inlineStr">
        <is>
          <t>Ubiquiti</t>
        </is>
      </c>
      <c r="C2021" s="2" t="inlineStr">
        <is>
          <t>ER-12</t>
        </is>
      </c>
      <c r="D2021" s="2" t="inlineStr">
        <is>
          <t>Маршрутизатор Ubiquiti EdgeRouter 12 |ER-12| Ubiquiti маршрутизатор 4 ядра (1 ГГц), 10х 1G RJ45, 2х SFP, раздача PoE, |ER-12| (023962)</t>
        </is>
      </c>
      <c r="E2021" s="2">
        <v>10</v>
      </c>
      <c r="F2021" s="2">
        <v>10</v>
      </c>
      <c r="H2021" s="2">
        <v>460</v>
      </c>
      <c r="I2021" s="2" t="inlineStr">
        <is>
          <t>$</t>
        </is>
      </c>
      <c r="J2021" s="2">
        <f>HYPERLINK("https://app.astro.lead-studio.pro/product/ae6e4e0a-4d72-4d81-ae72-7a97259435d6")</f>
      </c>
    </row>
    <row r="2022" spans="1:10" customHeight="0">
      <c r="A2022" s="2" t="inlineStr">
        <is>
          <t>Беспроводное ( Wi-Fi ) оборудование</t>
        </is>
      </c>
      <c r="B2022" s="2" t="inlineStr">
        <is>
          <t>MIKROTIK</t>
        </is>
      </c>
      <c r="C2022" s="2" t="inlineStr">
        <is>
          <t>RB1100AHx4</t>
        </is>
      </c>
      <c r="D2022" s="2" t="inlineStr">
        <is>
          <t>Маршрутизатор MIKROTIK RB1100Dx4 Dude Edition Router 1U 19" Rack Mount. Ethernet 13x 10/100/100 +Serial. PoE. 2xSATA, 2xM2, 60Gb M2SSD. 220/48V</t>
        </is>
      </c>
      <c r="E2022" s="2">
        <v>50</v>
      </c>
      <c r="F2022" s="2">
        <v>50</v>
      </c>
      <c r="H2022" s="2">
        <v>407</v>
      </c>
      <c r="I2022" s="2" t="inlineStr">
        <is>
          <t>$</t>
        </is>
      </c>
      <c r="J2022" s="2">
        <f>HYPERLINK("https://app.astro.lead-studio.pro/product/c5f01554-1307-49fd-b059-ba5d3e3da60a")</f>
      </c>
    </row>
    <row r="2023" spans="1:10" customHeight="0">
      <c r="A2023" s="2" t="inlineStr">
        <is>
          <t>Беспроводное ( Wi-Fi ) оборудование</t>
        </is>
      </c>
      <c r="B2023" s="2" t="inlineStr">
        <is>
          <t>MIKROTIK</t>
        </is>
      </c>
      <c r="C2023" s="2" t="inlineStr">
        <is>
          <t>RB4011iGS+5HacQ2HnD-IN</t>
        </is>
      </c>
      <c r="D2023" s="2" t="inlineStr">
        <is>
          <t>Маршрутизатор MIKROTIK RB4011iGS+5HacQ2HnD-IN RouterBOARD 4011iGS+5HacQ2HnD with Annapurna Alpine AL21400 Cortex A15 CPU (4-cores,1.4GHz per core),1GB RAM,10xGbit LAN,1xSFP+ port,built-in 5Ghz 802.11ac four chain wireless with external antennas,2.4Ghz 802.11b/g/n 2x2 two chain</t>
        </is>
      </c>
      <c r="E2023" s="2">
        <v>4</v>
      </c>
      <c r="F2023" s="2">
        <v>4</v>
      </c>
      <c r="H2023" s="2">
        <v>326</v>
      </c>
      <c r="I2023" s="2" t="inlineStr">
        <is>
          <t>$</t>
        </is>
      </c>
      <c r="J2023" s="2">
        <f>HYPERLINK("https://app.astro.lead-studio.pro/product/c4743e70-3808-4480-aa5f-35e5060ee092")</f>
      </c>
    </row>
    <row r="2024" spans="1:10" customHeight="0">
      <c r="A2024" s="2" t="inlineStr">
        <is>
          <t>Беспроводное ( Wi-Fi ) оборудование</t>
        </is>
      </c>
      <c r="B2024" s="2" t="inlineStr">
        <is>
          <t>MIKROTIK</t>
        </is>
      </c>
      <c r="C2024" s="2" t="inlineStr">
        <is>
          <t>RB5009UPr+S+IN</t>
        </is>
      </c>
      <c r="D2024" s="2" t="inlineStr">
        <is>
          <t>Маршрутизатор Mikrotik RB5009UPr+S+IN</t>
        </is>
      </c>
      <c r="E2024" s="2">
        <v>50</v>
      </c>
      <c r="F2024" s="2">
        <v>50</v>
      </c>
      <c r="H2024" s="2">
        <v>338</v>
      </c>
      <c r="I2024" s="2" t="inlineStr">
        <is>
          <t>$</t>
        </is>
      </c>
      <c r="J2024" s="2">
        <f>HYPERLINK("https://app.astro.lead-studio.pro/product/f300305b-1730-44dd-8214-af07f3a8a204")</f>
      </c>
    </row>
    <row r="2025" spans="1:10" customHeight="0">
      <c r="A2025" s="2" t="inlineStr">
        <is>
          <t>Беспроводное ( Wi-Fi ) оборудование</t>
        </is>
      </c>
      <c r="B2025" s="2" t="inlineStr">
        <is>
          <t>Teltonika</t>
        </is>
      </c>
      <c r="C2025" s="2" t="inlineStr">
        <is>
          <t>RUTXR1</t>
        </is>
      </c>
      <c r="D2025" s="2" t="inlineStr">
        <is>
          <t>Маршрутизатор Teltonika RUTXR1 (RUTXR1000000) ПРОМЫШЛЕННЫЙ SFP/LTE МАРШРУТИЗАТОР ДЛЯ КРЕПЛЕНИЯ В СТОЙКУ (312613)</t>
        </is>
      </c>
      <c r="E2025" s="2">
        <v>1</v>
      </c>
      <c r="F2025" s="2">
        <v>1</v>
      </c>
      <c r="H2025" s="2">
        <v>615</v>
      </c>
      <c r="I2025" s="2" t="inlineStr">
        <is>
          <t>$</t>
        </is>
      </c>
      <c r="J2025" s="2">
        <f>HYPERLINK("https://app.astro.lead-studio.pro/product/8dd13bce-f7ac-471e-af19-364c08a59779")</f>
      </c>
    </row>
    <row r="2026" spans="1:10" customHeight="0">
      <c r="A2026" s="2" t="inlineStr">
        <is>
          <t>Беспроводное ( Wi-Fi ) оборудование</t>
        </is>
      </c>
      <c r="B2026" s="2" t="inlineStr">
        <is>
          <t>Ubiquiti</t>
        </is>
      </c>
      <c r="C2026" s="2" t="inlineStr">
        <is>
          <t>UDM-Pro</t>
        </is>
      </c>
      <c r="D2026" s="2" t="inlineStr">
        <is>
          <t>Маршрутизатор Ubiquiti UniFi Dream Machine Pro |UDM-Pro| Ubiquiti многофункциональное устройство, объединяющее |UDM-Pro| маршрутизатор, коммутатор и контроллер (027373) {2}</t>
        </is>
      </c>
      <c r="E2026" s="2">
        <v>10</v>
      </c>
      <c r="F2026" s="2">
        <v>10</v>
      </c>
      <c r="H2026" s="2">
        <v>609</v>
      </c>
      <c r="I2026" s="2" t="inlineStr">
        <is>
          <t>$</t>
        </is>
      </c>
      <c r="J2026" s="2">
        <f>HYPERLINK("https://app.astro.lead-studio.pro/product/c9b64c72-38f6-4d29-81d4-364270053137")</f>
      </c>
    </row>
    <row r="2027" spans="1:10" customHeight="0">
      <c r="A2027" s="2" t="inlineStr">
        <is>
          <t>Беспроводное ( Wi-Fi ) оборудование</t>
        </is>
      </c>
      <c r="B2027" s="2" t="inlineStr">
        <is>
          <t>Ubiquiti</t>
        </is>
      </c>
      <c r="C2027" s="2" t="inlineStr">
        <is>
          <t>UDM-Pro-Max</t>
        </is>
      </c>
      <c r="D2027" s="2" t="inlineStr">
        <is>
          <t>Маршрутизатор Ubiquiti UniFi Dream Machine Pro Max Многофункциональное устройство, объединяющее маршрутизатор, коммутатор и контроллер</t>
        </is>
      </c>
      <c r="E2027" s="2">
        <v>4</v>
      </c>
      <c r="F2027" s="2">
        <v>4</v>
      </c>
      <c r="H2027" s="2">
        <v>1149</v>
      </c>
      <c r="I2027" s="2" t="inlineStr">
        <is>
          <t>$</t>
        </is>
      </c>
      <c r="J2027" s="2">
        <f>HYPERLINK("https://app.astro.lead-studio.pro/product/df3d1243-7f7f-4266-89ec-a2341a868dce")</f>
      </c>
    </row>
    <row r="2028" spans="1:10" customHeight="0">
      <c r="A2028" s="2" t="inlineStr">
        <is>
          <t>Беспроводное ( Wi-Fi ) оборудование</t>
        </is>
      </c>
      <c r="B2028" s="2" t="inlineStr">
        <is>
          <t>Ubiquiti</t>
        </is>
      </c>
      <c r="C2028" s="2" t="inlineStr">
        <is>
          <t>UXG-Max</t>
        </is>
      </c>
      <c r="D2028" s="2" t="inlineStr">
        <is>
          <t>Ubiquiti UniFi Gateway Max Маршрутизатор 4 ядра (1,5 ГГц), 4х 2.5G LAN, 1х 2.5G WAN</t>
        </is>
      </c>
      <c r="E2028" s="2">
        <v>5</v>
      </c>
      <c r="F2028" s="2">
        <v>5</v>
      </c>
      <c r="H2028" s="2">
        <v>443</v>
      </c>
      <c r="I2028" s="2" t="inlineStr">
        <is>
          <t>$</t>
        </is>
      </c>
      <c r="J2028" s="2">
        <f>HYPERLINK("https://app.astro.lead-studio.pro/product/5b779aab-9775-4dbb-baf8-a8f14c7904ea")</f>
      </c>
    </row>
    <row r="2029" spans="1:10" customHeight="0">
      <c r="A2029" s="2" t="inlineStr">
        <is>
          <t>Беспроводное ( Wi-Fi ) оборудование</t>
        </is>
      </c>
      <c r="B2029" s="2" t="inlineStr">
        <is>
          <t>Ubiquiti</t>
        </is>
      </c>
      <c r="C2029" s="2" t="inlineStr">
        <is>
          <t>AF-5G34-S45</t>
        </is>
      </c>
      <c r="D2029" s="2" t="inlineStr">
        <is>
          <t>Антенна Ubiquiti airFiber 5G-34-S45 Антенна 5 ГГц для airFiber 5X, 20 дБи</t>
        </is>
      </c>
      <c r="E2029" s="2">
        <v>10</v>
      </c>
      <c r="F2029" s="2">
        <v>10</v>
      </c>
      <c r="H2029" s="2">
        <v>519</v>
      </c>
      <c r="I2029" s="2" t="inlineStr">
        <is>
          <t>$</t>
        </is>
      </c>
      <c r="J2029" s="2">
        <f>HYPERLINK("https://app.astro.lead-studio.pro/product/735476be-2112-424f-924a-d2ffeeb77d9d")</f>
      </c>
    </row>
    <row r="2030" spans="1:10" customHeight="0">
      <c r="A2030" s="2" t="inlineStr">
        <is>
          <t>Беспроводное ( Wi-Fi ) оборудование</t>
        </is>
      </c>
      <c r="B2030" s="2" t="inlineStr">
        <is>
          <t>Ubiquiti</t>
        </is>
      </c>
      <c r="C2030" s="2" t="inlineStr">
        <is>
          <t>AF-5G34-S45||bp</t>
        </is>
      </c>
      <c r="D2030" s="2" t="inlineStr">
        <is>
          <t>Антенна Ubiquiti Bad Pack airFiber 5G-34-S45 Антенна 5 ГГц для airFiber 5X, 20 дБи</t>
        </is>
      </c>
      <c r="E2030" s="2">
        <v>1</v>
      </c>
      <c r="F2030" s="2">
        <v>1</v>
      </c>
      <c r="H2030" s="2">
        <v>494</v>
      </c>
      <c r="I2030" s="2" t="inlineStr">
        <is>
          <t>$</t>
        </is>
      </c>
      <c r="J2030" s="2">
        <f>HYPERLINK("https://app.astro.lead-studio.pro/product/81fddf8f-6cc8-4dbd-8892-0acc48a0380f")</f>
      </c>
    </row>
    <row r="2031" spans="1:10" customHeight="0">
      <c r="A2031" s="2" t="inlineStr">
        <is>
          <t>Беспроводное ( Wi-Fi ) оборудование</t>
        </is>
      </c>
      <c r="B2031" s="2" t="inlineStr">
        <is>
          <t>Ubiquiti</t>
        </is>
      </c>
      <c r="C2031" s="2" t="inlineStr">
        <is>
          <t>AM-5AC21-60</t>
        </is>
      </c>
      <c r="D2031" s="2" t="inlineStr">
        <is>
          <t>Антенна Ubiquiti AirMax AC Sector 5G-21-60-AC Секторная антенна 5 ГГц, 20 дБи, 60°  {2} (021428)</t>
        </is>
      </c>
      <c r="E2031" s="2">
        <v>10</v>
      </c>
      <c r="F2031" s="2">
        <v>10</v>
      </c>
      <c r="H2031" s="2">
        <v>327</v>
      </c>
      <c r="I2031" s="2" t="inlineStr">
        <is>
          <t>$</t>
        </is>
      </c>
      <c r="J2031" s="2">
        <f>HYPERLINK("https://app.astro.lead-studio.pro/product/d22ce53a-9b83-4838-aa76-cca45003ac3a")</f>
      </c>
    </row>
    <row r="2032" spans="1:10" customHeight="0">
      <c r="A2032" s="2" t="inlineStr">
        <is>
          <t>Беспроводное ( Wi-Fi ) оборудование</t>
        </is>
      </c>
      <c r="B2032" s="2" t="inlineStr">
        <is>
          <t>Ubiquiti</t>
        </is>
      </c>
      <c r="C2032" s="2" t="inlineStr">
        <is>
          <t>AM-9M13-120</t>
        </is>
      </c>
      <c r="D2032" s="2" t="inlineStr">
        <is>
          <t>Антенна Ubiquiti AirMax Sector 900-120-13 Секторная антенна 900 МГц, MIMO 2х2, 13 дБи</t>
        </is>
      </c>
      <c r="E2032" s="2">
        <v>5</v>
      </c>
      <c r="F2032" s="2">
        <v>5</v>
      </c>
      <c r="H2032" s="2">
        <v>470</v>
      </c>
      <c r="I2032" s="2" t="inlineStr">
        <is>
          <t>$</t>
        </is>
      </c>
      <c r="J2032" s="2">
        <f>HYPERLINK("https://app.astro.lead-studio.pro/product/9ded60fb-be46-497a-97f0-00bbd7478fbd")</f>
      </c>
    </row>
    <row r="2033" spans="1:10" customHeight="0">
      <c r="A2033" s="2" t="inlineStr">
        <is>
          <t>Беспроводное ( Wi-Fi ) оборудование</t>
        </is>
      </c>
      <c r="B2033" s="2" t="inlineStr">
        <is>
          <t>Ubiquiti</t>
        </is>
      </c>
      <c r="C2033" s="2" t="inlineStr">
        <is>
          <t>AMO-2G13</t>
        </is>
      </c>
      <c r="D2033" s="2" t="inlineStr">
        <is>
          <t>Антенна Ubiquiti AirMax Omni 2G13 Антенна для базовых станций, 2.4 ГГц, 13 дБи (020964) {4}</t>
        </is>
      </c>
      <c r="E2033" s="2">
        <v>10</v>
      </c>
      <c r="F2033" s="2">
        <v>10</v>
      </c>
      <c r="H2033" s="2">
        <v>348</v>
      </c>
      <c r="I2033" s="2" t="inlineStr">
        <is>
          <t>$</t>
        </is>
      </c>
      <c r="J2033" s="2">
        <f>HYPERLINK("https://app.astro.lead-studio.pro/product/75d016b0-ffa0-4c95-9bc6-bd9acd3a6478")</f>
      </c>
    </row>
    <row r="2034" spans="1:10" customHeight="0">
      <c r="A2034" s="2" t="inlineStr">
        <is>
          <t>Беспроводное ( Wi-Fi ) оборудование</t>
        </is>
      </c>
      <c r="B2034" s="2" t="inlineStr">
        <is>
          <t>Ubiquiti</t>
        </is>
      </c>
      <c r="C2034" s="2" t="inlineStr">
        <is>
          <t>AP-5AC-90-HD</t>
        </is>
      </c>
      <c r="D2034" s="2" t="inlineStr">
        <is>
          <t>Антенна Ubiquiti airPrism Sector 5AC-90-HD Секторная антенна для PtMP, 5 ГГц, 20 дБи, 3x30°</t>
        </is>
      </c>
      <c r="E2034" s="2">
        <v>4</v>
      </c>
      <c r="F2034" s="2">
        <v>4</v>
      </c>
      <c r="H2034" s="2">
        <v>554</v>
      </c>
      <c r="I2034" s="2" t="inlineStr">
        <is>
          <t>$</t>
        </is>
      </c>
      <c r="J2034" s="2">
        <f>HYPERLINK("https://app.astro.lead-studio.pro/product/42a91c82-58a1-4a5e-bc61-64a7f8dc18c7")</f>
      </c>
    </row>
    <row r="2035" spans="1:10" customHeight="0">
      <c r="A2035" s="2" t="inlineStr">
        <is>
          <t>Беспроводное ( Wi-Fi ) оборудование</t>
        </is>
      </c>
      <c r="B2035" s="2" t="inlineStr">
        <is>
          <t>Ubiquiti</t>
        </is>
      </c>
      <c r="C2035" s="2" t="inlineStr">
        <is>
          <t>RD-5G31-AC</t>
        </is>
      </c>
      <c r="D2035" s="2" t="inlineStr">
        <is>
          <t>Антенна Ubiquiti RocketDish 5G-31 AC антенна 5 ГГц для Rocket 5AC, 20 дБи</t>
        </is>
      </c>
      <c r="E2035" s="2">
        <v>10</v>
      </c>
      <c r="F2035" s="2">
        <v>10</v>
      </c>
      <c r="H2035" s="2">
        <v>610</v>
      </c>
      <c r="I2035" s="2" t="inlineStr">
        <is>
          <t>$</t>
        </is>
      </c>
      <c r="J2035" s="2">
        <f>HYPERLINK("https://app.astro.lead-studio.pro/product/8a477b92-9c3e-49a6-89f5-3d1f421b9be7")</f>
      </c>
    </row>
    <row r="2036" spans="1:10" customHeight="0">
      <c r="A2036" s="2" t="inlineStr">
        <is>
          <t>Беспроводное ( Wi-Fi ) оборудование</t>
        </is>
      </c>
      <c r="B2036" s="2" t="inlineStr">
        <is>
          <t>Ubiquiti</t>
        </is>
      </c>
      <c r="C2036" s="2" t="inlineStr">
        <is>
          <t>RD-5G34</t>
        </is>
      </c>
      <c r="D2036" s="2" t="inlineStr">
        <is>
          <t>Антенна Ubiquiti RocketDish 5G-34 узконаправленная антенна 5 ГГц, для точки доступа Rocket M5, 20 дБи</t>
        </is>
      </c>
      <c r="E2036" s="2">
        <v>10</v>
      </c>
      <c r="F2036" s="2">
        <v>10</v>
      </c>
      <c r="H2036" s="2">
        <v>502</v>
      </c>
      <c r="I2036" s="2" t="inlineStr">
        <is>
          <t>$</t>
        </is>
      </c>
      <c r="J2036" s="2">
        <f>HYPERLINK("https://app.astro.lead-studio.pro/product/545b415c-11bc-4f11-b4df-ca6d7725a976")</f>
      </c>
    </row>
    <row r="2037" spans="1:10" customHeight="0">
      <c r="A2037" s="2" t="inlineStr">
        <is>
          <t>Беспроводное ( Wi-Fi ) оборудование</t>
        </is>
      </c>
      <c r="B2037" s="2" t="inlineStr">
        <is>
          <t>Ubiquiti</t>
        </is>
      </c>
      <c r="C2037" s="2" t="inlineStr">
        <is>
          <t>RD-5G34||bp</t>
        </is>
      </c>
      <c r="D2037" s="2" t="inlineStr">
        <is>
          <t>Антенна Ubiquiti Bad Pack RocketDish 5G-34 узконаправленная антенна 5 ГГц, для точки доступа Rocket M5, 20 дБи bp</t>
        </is>
      </c>
      <c r="E2037" s="2">
        <v>1</v>
      </c>
      <c r="F2037" s="2">
        <v>1</v>
      </c>
      <c r="H2037" s="2">
        <v>450</v>
      </c>
      <c r="I2037" s="2" t="inlineStr">
        <is>
          <t>$</t>
        </is>
      </c>
      <c r="J2037" s="2">
        <f>HYPERLINK("https://app.astro.lead-studio.pro/product/9749aa6f-7da5-4517-b739-422c77b73dc1")</f>
      </c>
    </row>
    <row r="2038" spans="1:10" customHeight="0">
      <c r="A2038" s="2" t="inlineStr">
        <is>
          <t>Беспроводное ( Wi-Fi ) оборудование</t>
        </is>
      </c>
      <c r="B2038" s="2" t="inlineStr">
        <is>
          <t>CISCO</t>
        </is>
      </c>
      <c r="C2038" s="2" t="inlineStr">
        <is>
          <t>C9800-L-F-K9</t>
        </is>
      </c>
      <c r="D2038" s="2" t="inlineStr">
        <is>
          <t>Коммутатор CISCO Catalyst 9800-L (Fiber Uplink) Wireless Controller </t>
        </is>
      </c>
      <c r="E2038" s="2">
        <v>1</v>
      </c>
      <c r="F2038" s="2">
        <v>1</v>
      </c>
      <c r="H2038" s="2">
        <v>4263</v>
      </c>
      <c r="I2038" s="2" t="inlineStr">
        <is>
          <t>$</t>
        </is>
      </c>
      <c r="J2038" s="2">
        <f>HYPERLINK("https://app.astro.lead-studio.pro/product/b44aa073-fb6f-47fc-ae73-09934b94c1f1")</f>
      </c>
    </row>
    <row r="2039" spans="1:10" customHeight="0">
      <c r="A2039" s="2" t="inlineStr">
        <is>
          <t>Беспроводное ( Wi-Fi ) оборудование</t>
        </is>
      </c>
      <c r="B2039" s="2" t="inlineStr">
        <is>
          <t>D-Link</t>
        </is>
      </c>
      <c r="C2039" s="2" t="inlineStr">
        <is>
          <t>DWC-1000/C1A</t>
        </is>
      </c>
      <c r="D2039" s="2" t="inlineStr">
        <is>
          <t>Контроллер D-Link DWC-1000/C1A Беспроводной контроллер с 6 портами 10/100/1000Base-T и 2 USB-портами на 12/66 ТД</t>
        </is>
      </c>
      <c r="E2039" s="2">
        <v>6</v>
      </c>
      <c r="F2039" s="2">
        <v>6</v>
      </c>
      <c r="H2039" s="2">
        <v>748</v>
      </c>
      <c r="I2039" s="2" t="inlineStr">
        <is>
          <t>$</t>
        </is>
      </c>
      <c r="J2039" s="2">
        <f>HYPERLINK("https://app.astro.lead-studio.pro/product/9a82747c-e757-4d88-98b9-d36b2d6eb50a")</f>
      </c>
    </row>
    <row r="2040" spans="1:10" customHeight="0">
      <c r="A2040" s="2" t="inlineStr">
        <is>
          <t>Беспроводное ( Wi-Fi ) оборудование</t>
        </is>
      </c>
      <c r="B2040" s="2" t="inlineStr">
        <is>
          <t>D-Link</t>
        </is>
      </c>
      <c r="C2040" s="2" t="inlineStr">
        <is>
          <t>DWC-2000/A2A</t>
        </is>
      </c>
      <c r="D2040" s="2" t="inlineStr">
        <is>
          <t>Контроллер D-Link DWC-2000/A2A контроллер беспроводных точек доступа с 4 комбо-портами 100/1000Base-T/SFP, 2 USB-портами и 1 слотом расширения {1} (433764)</t>
        </is>
      </c>
      <c r="E2040" s="2">
        <v>1</v>
      </c>
      <c r="F2040" s="2">
        <v>1</v>
      </c>
      <c r="H2040" s="2">
        <v>1746</v>
      </c>
      <c r="I2040" s="2" t="inlineStr">
        <is>
          <t>$</t>
        </is>
      </c>
      <c r="J2040" s="2">
        <f>HYPERLINK("https://app.astro.lead-studio.pro/product/b75d2c0a-b3f0-47c5-a42c-909b792e0248")</f>
      </c>
    </row>
    <row r="2041" spans="1:10" customHeight="0">
      <c r="A2041" s="2" t="inlineStr">
        <is>
          <t>Беспроводное ( Wi-Fi ) оборудование</t>
        </is>
      </c>
      <c r="B2041" s="2" t="inlineStr">
        <is>
          <t>HPE</t>
        </is>
      </c>
      <c r="C2041" s="2" t="inlineStr">
        <is>
          <t>JW678A</t>
        </is>
      </c>
      <c r="D2041" s="2" t="inlineStr">
        <is>
          <t>Контроллер  Aruba 7010 Mobility Controller </t>
        </is>
      </c>
      <c r="E2041" s="2">
        <v>1</v>
      </c>
      <c r="F2041" s="2">
        <v>1</v>
      </c>
      <c r="H2041" s="2">
        <v>3335</v>
      </c>
      <c r="I2041" s="2" t="inlineStr">
        <is>
          <t>$</t>
        </is>
      </c>
      <c r="J2041" s="2">
        <f>HYPERLINK("https://app.astro.lead-studio.pro/product/83161f12-51bb-46d6-874a-7a6918c669e3")</f>
      </c>
    </row>
    <row r="2042" spans="1:10" customHeight="0">
      <c r="A2042" s="2" t="inlineStr">
        <is>
          <t>Беспроводное ( Wi-Fi ) оборудование</t>
        </is>
      </c>
      <c r="B2042" s="2" t="inlineStr">
        <is>
          <t>CISCO</t>
        </is>
      </c>
      <c r="C2042" s="2" t="inlineStr">
        <is>
          <t>C9115AXI-H</t>
        </is>
      </c>
      <c r="D2042" s="2" t="inlineStr">
        <is>
          <t>Точка доступа Wi-Fi CISCO Catalyst 9115AXI Access Point: Indoor environments, with internal antennas, 802.11n, 4x4 MIMO;IOT;BT5;USB, Regulatory domain H</t>
        </is>
      </c>
      <c r="E2042" s="2">
        <v>2</v>
      </c>
      <c r="F2042" s="2">
        <v>2</v>
      </c>
      <c r="H2042" s="2">
        <v>684</v>
      </c>
      <c r="I2042" s="2" t="inlineStr">
        <is>
          <t>$</t>
        </is>
      </c>
      <c r="J2042" s="2">
        <f>HYPERLINK("https://app.astro.lead-studio.pro/product/5ff032ee-cd52-4fb8-9a12-72d48bffd3f1")</f>
      </c>
    </row>
    <row r="2043" spans="1:10" customHeight="0">
      <c r="A2043" s="2" t="inlineStr">
        <is>
          <t>Беспроводное ( Wi-Fi ) оборудование</t>
        </is>
      </c>
      <c r="B2043" s="2" t="inlineStr">
        <is>
          <t>CISCO</t>
        </is>
      </c>
      <c r="C2043" s="2" t="inlineStr">
        <is>
          <t>C9120AXI-H</t>
        </is>
      </c>
      <c r="D2043" s="2" t="inlineStr">
        <is>
          <t>Точка доступа Wi-Fi CISCO Catalyst 9120AXI Access Point: Indoor environments, with internal antennas, 802.11ax 4x4:4 MIMO;IOT;BT5;mGig;USB;RHL, Regulatory domain H</t>
        </is>
      </c>
      <c r="E2043" s="2">
        <v>2</v>
      </c>
      <c r="F2043" s="2">
        <v>2</v>
      </c>
      <c r="H2043" s="2">
        <v>866</v>
      </c>
      <c r="I2043" s="2" t="inlineStr">
        <is>
          <t>$</t>
        </is>
      </c>
      <c r="J2043" s="2">
        <f>HYPERLINK("https://app.astro.lead-studio.pro/product/a09052fa-ce7d-46f5-b65b-b6a9d98eb338")</f>
      </c>
    </row>
    <row r="2044" spans="1:10" customHeight="0">
      <c r="A2044" s="2" t="inlineStr">
        <is>
          <t>Беспроводное ( Wi-Fi ) оборудование</t>
        </is>
      </c>
      <c r="B2044" s="2" t="inlineStr">
        <is>
          <t>Ubiquiti</t>
        </is>
      </c>
      <c r="C2044" s="2" t="inlineStr">
        <is>
          <t>LTU-Rocket</t>
        </is>
      </c>
      <c r="D2044" s="2" t="inlineStr">
        <is>
          <t>Точка доступа Wi-Fi Ubiquiti LTU Rocket |LTU-Rocket| Ubiquiti Базовая станция для радиосети LTU, 5 ГГц, PtMP, MIMO 2х2,, |LTU-Rocket| 2x RP-SMA, GPS Sync, (029438)</t>
        </is>
      </c>
      <c r="E2044" s="2">
        <v>8</v>
      </c>
      <c r="F2044" s="2">
        <v>8</v>
      </c>
      <c r="H2044" s="2">
        <v>620</v>
      </c>
      <c r="I2044" s="2" t="inlineStr">
        <is>
          <t>$</t>
        </is>
      </c>
      <c r="J2044" s="2">
        <f>HYPERLINK("https://app.astro.lead-studio.pro/product/de253f23-93d1-478a-b41f-843841e315f8")</f>
      </c>
    </row>
    <row r="2045" spans="1:10" customHeight="0">
      <c r="A2045" s="2" t="inlineStr">
        <is>
          <t>Беспроводное ( Wi-Fi ) оборудование</t>
        </is>
      </c>
      <c r="B2045" s="2" t="inlineStr">
        <is>
          <t>Ubiquiti</t>
        </is>
      </c>
      <c r="C2045" s="2" t="inlineStr">
        <is>
          <t>PBE-5AC-620</t>
        </is>
      </c>
      <c r="D2045" s="2" t="inlineStr">
        <is>
          <t>Точка доступа Wi-Fi Ubiquiti PowerBeam 5AC-620 |PBE-5AC-620| точка доступа 5 ГГц, AirMax</t>
        </is>
      </c>
      <c r="E2045" s="2">
        <v>10</v>
      </c>
      <c r="F2045" s="2">
        <v>10</v>
      </c>
      <c r="H2045" s="2">
        <v>373</v>
      </c>
      <c r="I2045" s="2" t="inlineStr">
        <is>
          <t>$</t>
        </is>
      </c>
      <c r="J2045" s="2">
        <f>HYPERLINK("https://app.astro.lead-studio.pro/product/81426fdb-832a-429b-a3f5-cb6640e5f274")</f>
      </c>
    </row>
    <row r="2046" spans="1:10" customHeight="0">
      <c r="A2046" s="2" t="inlineStr">
        <is>
          <t>Беспроводное ( Wi-Fi ) оборудование</t>
        </is>
      </c>
      <c r="B2046" s="2" t="inlineStr">
        <is>
          <t>HPE</t>
        </is>
      </c>
      <c r="C2046" s="2" t="inlineStr">
        <is>
          <t>Q9H62A</t>
        </is>
      </c>
      <c r="D2046" s="2" t="inlineStr">
        <is>
          <t>Точка доступа Wi-Fi HPE Q9H62A HPE Точка доступа Aruba AP-515 (RW) Unified AP Unified AP</t>
        </is>
      </c>
      <c r="E2046" s="2">
        <v>5</v>
      </c>
      <c r="F2046" s="2">
        <v>5</v>
      </c>
      <c r="H2046" s="2">
        <v>507</v>
      </c>
      <c r="I2046" s="2" t="inlineStr">
        <is>
          <t>$</t>
        </is>
      </c>
      <c r="J2046" s="2">
        <f>HYPERLINK("https://app.astro.lead-studio.pro/product/1a261f99-cdfd-4154-940d-e8e1bca35b6b")</f>
      </c>
    </row>
    <row r="2047" spans="1:10" customHeight="0">
      <c r="A2047" s="2" t="inlineStr">
        <is>
          <t>Беспроводное ( Wi-Fi ) оборудование</t>
        </is>
      </c>
      <c r="B2047" s="2" t="inlineStr">
        <is>
          <t>HPE</t>
        </is>
      </c>
      <c r="C2047" s="2" t="inlineStr">
        <is>
          <t>R2X11A</t>
        </is>
      </c>
      <c r="D2047" s="2" t="inlineStr">
        <is>
          <t>Точка доступа Wi-Fi HPE R2X11A Aruba Instant On Outdoor AP17 (RW) Access Point  Access Point</t>
        </is>
      </c>
      <c r="E2047" s="2">
        <v>2</v>
      </c>
      <c r="F2047" s="2">
        <v>2</v>
      </c>
      <c r="H2047" s="2">
        <v>332</v>
      </c>
      <c r="I2047" s="2" t="inlineStr">
        <is>
          <t>$</t>
        </is>
      </c>
      <c r="J2047" s="2">
        <f>HYPERLINK("https://app.astro.lead-studio.pro/product/bad03944-4ba3-4285-bedb-274dd96135fa")</f>
      </c>
    </row>
    <row r="2048" spans="1:10" customHeight="0">
      <c r="A2048" s="2" t="inlineStr">
        <is>
          <t>Беспроводное ( Wi-Fi ) оборудование</t>
        </is>
      </c>
      <c r="B2048" s="2" t="inlineStr">
        <is>
          <t>HPE</t>
        </is>
      </c>
      <c r="C2048" s="2" t="inlineStr">
        <is>
          <t>R4W43A</t>
        </is>
      </c>
      <c r="D2048" s="2" t="inlineStr">
        <is>
          <t>Точка доступа Wi-Fi HPE Aruba AP-565 (RW) Outdoor 11ax AP </t>
        </is>
      </c>
      <c r="E2048" s="2">
        <v>4</v>
      </c>
      <c r="F2048" s="2">
        <v>4</v>
      </c>
      <c r="H2048" s="2">
        <v>667</v>
      </c>
      <c r="I2048" s="2" t="inlineStr">
        <is>
          <t>$</t>
        </is>
      </c>
      <c r="J2048" s="2">
        <f>HYPERLINK("https://app.astro.lead-studio.pro/product/83b1320e-d1a9-4877-b7f9-32e145145887")</f>
      </c>
    </row>
    <row r="2049" spans="1:10" customHeight="0">
      <c r="A2049" s="2" t="inlineStr">
        <is>
          <t>Беспроводное ( Wi-Fi ) оборудование</t>
        </is>
      </c>
      <c r="B2049" s="2" t="inlineStr">
        <is>
          <t>MIKROTIK</t>
        </is>
      </c>
      <c r="C2049" s="2" t="inlineStr">
        <is>
          <t>RBLHGG-60adkit</t>
        </is>
      </c>
      <c r="D2049" s="2" t="inlineStr">
        <is>
          <t>Точка доступа Wi-Fi MIKROTIK RBLHGG-60adkit Wireless Wire Dish КОМПЛЕКТ ИЗ 2 ШТУК (Pair of preconfigured LHGG-60ad devices for 60Ghz link (60GHz antenna, 802.11ad wireless, four core 716MHz CPU,256MB RAM, 1x Gigabit LAN, RouterOS L3, POE, PSU) for 1Gbps full duplex on distances of u</t>
        </is>
      </c>
      <c r="E2049" s="2">
        <v>19</v>
      </c>
      <c r="F2049" s="2">
        <v>19</v>
      </c>
      <c r="H2049" s="2">
        <v>418</v>
      </c>
      <c r="I2049" s="2" t="inlineStr">
        <is>
          <t>$</t>
        </is>
      </c>
      <c r="J2049" s="2">
        <f>HYPERLINK("https://app.astro.lead-studio.pro/product/f1743e0b-40c6-463f-8a99-5aca53c6d133")</f>
      </c>
    </row>
    <row r="2050" spans="1:10" customHeight="0">
      <c r="A2050" s="2" t="inlineStr">
        <is>
          <t>Беспроводное ( Wi-Fi ) оборудование</t>
        </is>
      </c>
      <c r="B2050" s="2" t="inlineStr">
        <is>
          <t>Ubiquiti</t>
        </is>
      </c>
      <c r="C2050" s="2" t="inlineStr">
        <is>
          <t>RP-5AC-Gen2</t>
        </is>
      </c>
      <c r="D2050" s="2" t="inlineStr">
        <is>
          <t>Точка доступа Wi-Fi Ubiquiti Rocket 5AC PRISM Gen2 |RP-5AC-Gen2| 5 ГГц, PtMP/PtP, airMAX ac, 2x RP-SMA, |RP-5AC-Gen2| фильтры airPrism, GPS Sync (020268) {10}</t>
        </is>
      </c>
      <c r="E2050" s="2">
        <v>9</v>
      </c>
      <c r="F2050" s="2">
        <v>9</v>
      </c>
      <c r="H2050" s="2">
        <v>373</v>
      </c>
      <c r="I2050" s="2" t="inlineStr">
        <is>
          <t>$</t>
        </is>
      </c>
      <c r="J2050" s="2">
        <f>HYPERLINK("https://app.astro.lead-studio.pro/product/76f7b4a8-c340-4db9-abf3-9afa9e547127")</f>
      </c>
    </row>
    <row r="2051" spans="1:10" customHeight="0">
      <c r="A2051" s="2" t="inlineStr">
        <is>
          <t>Беспроводное ( Wi-Fi ) оборудование</t>
        </is>
      </c>
      <c r="B2051" s="2" t="inlineStr">
        <is>
          <t>HPE</t>
        </is>
      </c>
      <c r="C2051" s="2" t="inlineStr">
        <is>
          <t>S1T23A</t>
        </is>
      </c>
      <c r="D2051" s="2" t="inlineStr">
        <is>
          <t>Точка доступа Wi-Fi HPE Aruba Instant On AP32 (RW) Dual Radio Tri Band 2x2 Access Point Wi-Fi 6E </t>
        </is>
      </c>
      <c r="E2051" s="2">
        <v>10</v>
      </c>
      <c r="F2051" s="2">
        <v>10</v>
      </c>
      <c r="H2051" s="2">
        <v>324</v>
      </c>
      <c r="I2051" s="2" t="inlineStr">
        <is>
          <t>$</t>
        </is>
      </c>
      <c r="J2051" s="2">
        <f>HYPERLINK("https://app.astro.lead-studio.pro/product/cecd031f-649e-4043-bcce-bd71f33722be")</f>
      </c>
    </row>
    <row r="2052" spans="1:10" customHeight="0">
      <c r="A2052" s="2" t="inlineStr">
        <is>
          <t>Беспроводное ( Wi-Fi ) оборудование</t>
        </is>
      </c>
      <c r="B2052" s="2" t="inlineStr">
        <is>
          <t>Ubiquiti</t>
        </is>
      </c>
      <c r="C2052" s="2" t="inlineStr">
        <is>
          <t>U6-Enterprise</t>
        </is>
      </c>
      <c r="D2052" s="2" t="inlineStr">
        <is>
          <t>Точка доступа Wi-Fi Ubiquiti UniFi 6 AP Enterprise |U6-Enterprise| Точка доступа 2,4+5 ГГц, Wi-Fi 6E, 4х4 MU-MIMO, 802.3at, 1х 2,5G RJ45</t>
        </is>
      </c>
      <c r="E2052" s="2">
        <v>29</v>
      </c>
      <c r="F2052" s="2">
        <v>29</v>
      </c>
      <c r="H2052" s="2">
        <v>451</v>
      </c>
      <c r="I2052" s="2" t="inlineStr">
        <is>
          <t>$</t>
        </is>
      </c>
      <c r="J2052" s="2">
        <f>HYPERLINK("https://app.astro.lead-studio.pro/product/0323d7c3-5843-49d5-84da-cacf2aab08ae")</f>
      </c>
    </row>
    <row r="2053" spans="1:10" customHeight="0">
      <c r="A2053" s="2" t="inlineStr">
        <is>
          <t>Беспроводное ( Wi-Fi ) оборудование</t>
        </is>
      </c>
      <c r="B2053" s="2" t="inlineStr">
        <is>
          <t>Ubiquiti</t>
        </is>
      </c>
      <c r="C2053" s="2" t="inlineStr">
        <is>
          <t>U6-Enterprise-IW</t>
        </is>
      </c>
      <c r="D2053" s="2" t="inlineStr">
        <is>
          <t>Точка доступа Wi-Fi Ubiquiti U6 Enterprise In-Wall Настенная точка доступа Wi-Fi 6E</t>
        </is>
      </c>
      <c r="E2053" s="2">
        <v>5</v>
      </c>
      <c r="F2053" s="2">
        <v>5</v>
      </c>
      <c r="H2053" s="2">
        <v>519</v>
      </c>
      <c r="I2053" s="2" t="inlineStr">
        <is>
          <t>$</t>
        </is>
      </c>
      <c r="J2053" s="2">
        <f>HYPERLINK("https://app.astro.lead-studio.pro/product/8b9bb8ea-df76-4a11-a957-02003038b72e")</f>
      </c>
    </row>
    <row r="2054" spans="1:10" customHeight="0">
      <c r="A2054" s="2" t="inlineStr">
        <is>
          <t>Беспроводное ( Wi-Fi ) оборудование</t>
        </is>
      </c>
      <c r="B2054" s="2" t="inlineStr">
        <is>
          <t>Ubiquiti</t>
        </is>
      </c>
      <c r="C2054" s="2" t="inlineStr">
        <is>
          <t>U6-Mesh-Pro</t>
        </is>
      </c>
      <c r="D2054" s="2" t="inlineStr">
        <is>
          <t>Точка доступа Wi-Fi Ubiquiti UniFi 6 AP Mesh Pro Точка доступа 2,4+5 ГГц, Wi-Fi 6, 2х2 MU-MIMO, 802.3af, 2х 1G Ethernet</t>
        </is>
      </c>
      <c r="E2054" s="2">
        <v>10</v>
      </c>
      <c r="F2054" s="2">
        <v>10</v>
      </c>
      <c r="H2054" s="2">
        <v>383</v>
      </c>
      <c r="I2054" s="2" t="inlineStr">
        <is>
          <t>$</t>
        </is>
      </c>
      <c r="J2054" s="2">
        <f>HYPERLINK("https://app.astro.lead-studio.pro/product/f205a018-6dd2-4515-8e3b-8ef206050229")</f>
      </c>
    </row>
    <row r="2055" spans="1:10" customHeight="0">
      <c r="A2055" s="2" t="inlineStr">
        <is>
          <t>Беспроводное ( Wi-Fi ) оборудование</t>
        </is>
      </c>
      <c r="B2055" s="2" t="inlineStr">
        <is>
          <t>Ubiquiti</t>
        </is>
      </c>
      <c r="C2055" s="2" t="inlineStr">
        <is>
          <t>U7-Pro-Max</t>
        </is>
      </c>
      <c r="D2055" s="2" t="inlineStr">
        <is>
          <t>Точка доступа Wi-Fi Ubiquiti niFi 7 AP Pro Max Точка доступа 2,4+5+6 ГГц, Wi-Fi 7, 4х4 MIMO, PoE+, 1х 2,5G RJ45</t>
        </is>
      </c>
      <c r="E2055" s="2">
        <v>10</v>
      </c>
      <c r="F2055" s="2">
        <v>10</v>
      </c>
      <c r="H2055" s="2">
        <v>526</v>
      </c>
      <c r="I2055" s="2" t="inlineStr">
        <is>
          <t>$</t>
        </is>
      </c>
      <c r="J2055" s="2">
        <f>HYPERLINK("https://app.astro.lead-studio.pro/product/8a97e8bc-4a08-48f3-9d44-9174e5583f32")</f>
      </c>
    </row>
    <row r="2056" spans="1:10" customHeight="0">
      <c r="A2056" s="2" t="inlineStr">
        <is>
          <t>Беспроводное ( Wi-Fi ) оборудование</t>
        </is>
      </c>
      <c r="B2056" s="2" t="inlineStr">
        <is>
          <t>Ubiquiti</t>
        </is>
      </c>
      <c r="C2056" s="2" t="inlineStr">
        <is>
          <t>U7-Pro-Wall</t>
        </is>
      </c>
      <c r="D2056" s="2" t="inlineStr">
        <is>
          <t>Точка доступа Wi-Fi Ubiquiti UniFi 7 AP Pro Wall Точка доступа 2,4+5+6 ГГц, Wi-Fi 7, 2х2 MIMO, PoE+, 1х 2,5G RJ45</t>
        </is>
      </c>
      <c r="E2056" s="2">
        <v>10</v>
      </c>
      <c r="F2056" s="2">
        <v>10</v>
      </c>
      <c r="H2056" s="2">
        <v>380</v>
      </c>
      <c r="I2056" s="2" t="inlineStr">
        <is>
          <t>$</t>
        </is>
      </c>
      <c r="J2056" s="2">
        <f>HYPERLINK("https://app.astro.lead-studio.pro/product/a3e4a064-ea70-4161-9f8a-0191f32c8dbf")</f>
      </c>
    </row>
    <row r="2057" spans="1:10" customHeight="0">
      <c r="A2057" s="2" t="inlineStr">
        <is>
          <t>Беспроводное ( Wi-Fi ) оборудование</t>
        </is>
      </c>
      <c r="B2057" s="2" t="inlineStr">
        <is>
          <t>Ubiquiti</t>
        </is>
      </c>
      <c r="C2057" s="2" t="inlineStr">
        <is>
          <t>UAP-AC-LITE-5||НЕКОМПЛЕКТ</t>
        </is>
      </c>
      <c r="D2057" s="2" t="inlineStr">
        <is>
          <t>Точка доступа Wi-Fi Ubiquiti НЕКОМПЛЕКТ КРЕПЛЕНИЯ (3 из 5) UniFi AP AC Lite (5-pack) (UAP-AC-LITE-5) Ubiquiti точка доступа 2x2, 1x Gigabit Ethernet (5-pack) {4}, (025440)</t>
        </is>
      </c>
      <c r="E2057" s="2">
        <v>1</v>
      </c>
      <c r="F2057" s="2">
        <v>1</v>
      </c>
      <c r="H2057" s="2">
        <v>521</v>
      </c>
      <c r="I2057" s="2" t="inlineStr">
        <is>
          <t>$</t>
        </is>
      </c>
      <c r="J2057" s="2">
        <f>HYPERLINK("https://app.astro.lead-studio.pro/product/4907b078-ef78-4303-b592-231a5324f571")</f>
      </c>
    </row>
    <row r="2058" spans="1:10" customHeight="0">
      <c r="A2058" s="2" t="inlineStr">
        <is>
          <t>Беспроводное ( Wi-Fi ) оборудование</t>
        </is>
      </c>
      <c r="B2058" s="2" t="inlineStr">
        <is>
          <t>Ubiquiti</t>
        </is>
      </c>
      <c r="C2058" s="2" t="inlineStr">
        <is>
          <t>UAP-AC-M-5</t>
        </is>
      </c>
      <c r="D2058" s="2" t="inlineStr">
        <is>
          <t>Точка доступа Wi-Fi Ubiquiti UniFi AP AC Mesh (5-pack) |UAP-AC-M-5| Ubiquiti точка доступа 1UTP 1000Mbps, 802.11ac / a / b / g / |UAP-AC-M-5| n, 867Mbps, 4dBi (5-pack)</t>
        </is>
      </c>
      <c r="E2058" s="2">
        <v>4</v>
      </c>
      <c r="F2058" s="2">
        <v>4</v>
      </c>
      <c r="H2058" s="2">
        <v>716</v>
      </c>
      <c r="I2058" s="2" t="inlineStr">
        <is>
          <t>$</t>
        </is>
      </c>
      <c r="J2058" s="2">
        <f>HYPERLINK("https://app.astro.lead-studio.pro/product/e4e231e2-50bd-4dd8-8c18-4fa03ce1e8d0")</f>
      </c>
    </row>
    <row r="2059" spans="1:10" customHeight="0">
      <c r="A2059" s="2" t="inlineStr">
        <is>
          <t>Беспроводное ( Wi-Fi ) оборудование</t>
        </is>
      </c>
      <c r="B2059" s="2" t="inlineStr">
        <is>
          <t>Ubiquiti</t>
        </is>
      </c>
      <c r="C2059" s="2" t="inlineStr">
        <is>
          <t>UAP-AC-M-PRO-5</t>
        </is>
      </c>
      <c r="D2059" s="2" t="inlineStr">
        <is>
          <t>Комплект из 5 Mesh-точек доступа Ubiquiti UniFi AP AC Mesh Pro (5-pack) |UAP-AC-M-PRO-5| 2.4+5 |UAP-AC-M-PRO-5| ГГц, 802.11ac/n/a/g/b, 2х 1G Ethernet, 802.3af (5-pack) (020732) (020558) {2}</t>
        </is>
      </c>
      <c r="E2059" s="2">
        <v>10</v>
      </c>
      <c r="F2059" s="2">
        <v>10</v>
      </c>
      <c r="H2059" s="2">
        <v>1841</v>
      </c>
      <c r="I2059" s="2" t="inlineStr">
        <is>
          <t>$</t>
        </is>
      </c>
      <c r="J2059" s="2">
        <f>HYPERLINK("https://app.astro.lead-studio.pro/product/1ef1a4b7-f15b-4738-948d-4434879ae8d5")</f>
      </c>
    </row>
    <row r="2060" spans="1:10" customHeight="0">
      <c r="A2060" s="2" t="inlineStr">
        <is>
          <t>Беспроводное ( Wi-Fi ) оборудование</t>
        </is>
      </c>
      <c r="B2060" s="2" t="inlineStr">
        <is>
          <t>Ubiquiti</t>
        </is>
      </c>
      <c r="C2060" s="2" t="inlineStr">
        <is>
          <t>UAP-AC-PRO-5</t>
        </is>
      </c>
      <c r="D2060" s="2" t="inlineStr">
        <is>
          <t>Точка доступа Wi-Fi Ubiquiti UniFi AP AC Pro (5-pack) |UAP-AC-PRO-5| Ubiquiti точка доступа, 2.4/5 ГГц, 3x3 MIMO, до 1300+450 |UAP-AC-PRO-5| Мбит/с, 2 гигабитных сетевых порта, поддержка питания IEEE 802.3af PoE / 802.3at PoE+ (5-pack) (025464) {4}</t>
        </is>
      </c>
      <c r="E2060" s="2">
        <v>10</v>
      </c>
      <c r="F2060" s="2">
        <v>10</v>
      </c>
      <c r="H2060" s="2">
        <v>1106</v>
      </c>
      <c r="I2060" s="2" t="inlineStr">
        <is>
          <t>$</t>
        </is>
      </c>
      <c r="J2060" s="2">
        <f>HYPERLINK("https://app.astro.lead-studio.pro/product/958d8715-61f2-4957-bbe2-a60b83dbeb29")</f>
      </c>
    </row>
    <row r="2061" spans="1:10" customHeight="0">
      <c r="A2061" s="2" t="inlineStr">
        <is>
          <t>Беспроводное ( Wi-Fi ) оборудование</t>
        </is>
      </c>
      <c r="B2061" s="2" t="inlineStr">
        <is>
          <t>Ubiquiti</t>
        </is>
      </c>
      <c r="C2061" s="2" t="inlineStr">
        <is>
          <t>UDW</t>
        </is>
      </c>
      <c r="D2061" s="2" t="inlineStr">
        <is>
          <t>Точка доступа Wi-Fi  UniFi Dream Wall Многофункциональное устройство, объединяющее маршрутизатор, точку доступа, PoE-коммутатор и сетевой видеорегистратор</t>
        </is>
      </c>
      <c r="E2061" s="2">
        <v>3</v>
      </c>
      <c r="F2061" s="2">
        <v>3</v>
      </c>
      <c r="H2061" s="2">
        <v>1795</v>
      </c>
      <c r="I2061" s="2" t="inlineStr">
        <is>
          <t>$</t>
        </is>
      </c>
      <c r="J2061" s="2">
        <f>HYPERLINK("https://app.astro.lead-studio.pro/product/f1644ad6-f2dd-43ea-bcfc-ea43a12091b2")</f>
      </c>
    </row>
    <row r="2062" spans="1:10" customHeight="0">
      <c r="A2062" s="2" t="inlineStr">
        <is>
          <t>Коммутаторы (switch)</t>
        </is>
      </c>
      <c r="B2062" s="2" t="inlineStr">
        <is>
          <t>Edge-corE</t>
        </is>
      </c>
      <c r="C2062" s="2" t="inlineStr">
        <is>
          <t>4610-30P-O-AC-F/4610-30P-O-AC-Fv1</t>
        </is>
      </c>
      <c r="D2062" s="2" t="inlineStr">
        <is>
          <t>Коммутатор Edge-corE 4610-30P-O-AC-F Edge-corE AS4610-30P, 24-Port GE RJ45 port PoE+, last 8 ports Ultra-PoE, 960W PoE Bugdet, 4x10G SFP+, 2 port 20G QSFP+ for stacking, Broadcom Helix 4, Dual-core ARM Cortex A9 1GHz, dual 110-230VAC 600W hot-swappable PSUs, one fixed syste</t>
        </is>
      </c>
      <c r="E2062" s="2">
        <v>1</v>
      </c>
      <c r="F2062" s="2">
        <v>1</v>
      </c>
      <c r="H2062" s="2">
        <v>1818</v>
      </c>
      <c r="I2062" s="2" t="inlineStr">
        <is>
          <t>$</t>
        </is>
      </c>
      <c r="J2062" s="2">
        <f>HYPERLINK("https://app.astro.lead-studio.pro/product/f32b574d-528f-43e7-95f9-6c38e58ae850")</f>
      </c>
    </row>
    <row r="2063" spans="1:10" customHeight="0">
      <c r="A2063" s="2" t="inlineStr">
        <is>
          <t>Коммутаторы (switch)</t>
        </is>
      </c>
      <c r="B2063" s="2" t="inlineStr">
        <is>
          <t>Edge-corE</t>
        </is>
      </c>
      <c r="C2063" s="2" t="inlineStr">
        <is>
          <t>4610-54P-O-AC-Fv1</t>
        </is>
      </c>
      <c r="D2063" s="2" t="inlineStr">
        <is>
          <t>Коммутатор Edge-corE 4610-54P-O-AC-Fv1 Edge-corE 48-Port GE RJ45 port w/ POE+, incl. 8 ports UPOE, 4x10G SFP+, 2 port QSFP+ by DAC or 20G QSFP+ Transceiver, Broadcom Helix 4, Dual-core ARM Cortex A9 1GHz, dual 110-230VAC 920W hot-swappable PSUs, one fixed system fan (609752)</t>
        </is>
      </c>
      <c r="E2063" s="2">
        <v>1</v>
      </c>
      <c r="F2063" s="2">
        <v>1</v>
      </c>
      <c r="H2063" s="2">
        <v>2534</v>
      </c>
      <c r="I2063" s="2" t="inlineStr">
        <is>
          <t>$</t>
        </is>
      </c>
      <c r="J2063" s="2">
        <f>HYPERLINK("https://app.astro.lead-studio.pro/product/0d2e6dda-0524-41c3-9d8b-0b6fcb504261")</f>
      </c>
    </row>
    <row r="2064" spans="1:10" customHeight="0">
      <c r="A2064" s="2" t="inlineStr">
        <is>
          <t>Коммутаторы (switch)</t>
        </is>
      </c>
      <c r="B2064" s="2" t="inlineStr">
        <is>
          <t>Edge-corE</t>
        </is>
      </c>
      <c r="C2064" s="2" t="inlineStr">
        <is>
          <t>4610-54P-O-AC-Fv1||bp</t>
        </is>
      </c>
      <c r="D2064" s="2" t="inlineStr">
        <is>
          <t>Коммутатор Edge-corE Bad Pack 4610-54P-O-AC-Fv1 Edge-corE 48-Port GE RJ45 port w/ POE+, incl. 8 ports UPOE, 4x10G SFP+, 2 port QSFP+ by DAC or 20G QSFP+ Transceiver, Broadcom Helix 4, Dual-core ARM Cortex A9 1GHz, dual 110-230VAC 920W hot-swappable PSUs, one fixed system fan</t>
        </is>
      </c>
      <c r="E2064" s="2">
        <v>1</v>
      </c>
      <c r="F2064" s="2">
        <v>1</v>
      </c>
      <c r="H2064" s="2">
        <v>2607</v>
      </c>
      <c r="I2064" s="2" t="inlineStr">
        <is>
          <t>$</t>
        </is>
      </c>
      <c r="J2064" s="2">
        <f>HYPERLINK("https://app.astro.lead-studio.pro/product/7c6295ec-e0f5-4243-a0ef-b3f23b11aee3")</f>
      </c>
    </row>
    <row r="2065" spans="1:10" customHeight="0">
      <c r="A2065" s="2" t="inlineStr">
        <is>
          <t>Коммутаторы (switch)</t>
        </is>
      </c>
      <c r="B2065" s="2" t="inlineStr">
        <is>
          <t>Edge-corE</t>
        </is>
      </c>
      <c r="C2065" s="2" t="inlineStr">
        <is>
          <t>4630-54PE-O-AC-F</t>
        </is>
      </c>
      <c r="D2065" s="2" t="inlineStr">
        <is>
          <t>Коммутатор Edge-corE 4630-54PE-O-AC-F Edge-corE AS4630-54PE, 48-Port GE RJ45 port PoE++, 4x25G SFP+, 2 port 100G QSFP28 for stacking, Broadcom Trident 3, Dual-core Intel Denverton CPU, dual AC 1200W PSUs and 2 + 1 Fan Modules with port-to-power airflow, 2 front rack mounti</t>
        </is>
      </c>
      <c r="E2065" s="2">
        <v>1</v>
      </c>
      <c r="F2065" s="2">
        <v>1</v>
      </c>
      <c r="H2065" s="2">
        <v>3959</v>
      </c>
      <c r="I2065" s="2" t="inlineStr">
        <is>
          <t>$</t>
        </is>
      </c>
      <c r="J2065" s="2">
        <f>HYPERLINK("https://app.astro.lead-studio.pro/product/03ab69d7-2018-4716-ad76-2a34f44b7a25")</f>
      </c>
    </row>
    <row r="2066" spans="1:10" customHeight="0">
      <c r="A2066" s="2" t="inlineStr">
        <is>
          <t>Коммутаторы (switch)</t>
        </is>
      </c>
      <c r="B2066" s="2" t="inlineStr">
        <is>
          <t>Edge-corE</t>
        </is>
      </c>
      <c r="C2066" s="2" t="inlineStr">
        <is>
          <t>9716-32D-O-AC-F</t>
        </is>
      </c>
      <c r="D2066" s="2" t="inlineStr">
        <is>
          <t>Коммутатор Edge-corE 9716-32D-O-AC-F Edge-corE AS9716-32D, 32-Port 400G QSFP56-DD switch, ONIE software installer, Broadcom Tomahawk3 12.8 Tbps,Intel Xeon® Processor D1518, dual AC PSUs and Fan Modules with port-to-power airflow, rack mount kit (front and back) included, 3-y</t>
        </is>
      </c>
      <c r="E2066" s="2">
        <v>1</v>
      </c>
      <c r="F2066" s="2">
        <v>1</v>
      </c>
      <c r="H2066" s="2">
        <v>32526</v>
      </c>
      <c r="I2066" s="2" t="inlineStr">
        <is>
          <t>$</t>
        </is>
      </c>
      <c r="J2066" s="2">
        <f>HYPERLINK("https://app.astro.lead-studio.pro/product/15c0009e-8bdd-40a6-b727-8297162025aa")</f>
      </c>
    </row>
    <row r="2067" spans="1:10" customHeight="0">
      <c r="A2067" s="2" t="inlineStr">
        <is>
          <t>Коммутаторы (switch)</t>
        </is>
      </c>
      <c r="B2067" s="2" t="inlineStr">
        <is>
          <t>Brocade</t>
        </is>
      </c>
      <c r="C2067" s="2" t="inlineStr">
        <is>
          <t>BR-G610-8-16G-0_CR</t>
        </is>
      </c>
      <c r="D2067" s="2" t="inlineStr">
        <is>
          <t>Коммутатор Brocade G610 24-port FC Switch, 8-port licensed, 8x 16Gb SWL SFP+, 1 PS, FOS Notupgradable, Rail Kit </t>
        </is>
      </c>
      <c r="E2067" s="2">
        <v>4</v>
      </c>
      <c r="F2067" s="2">
        <v>4</v>
      </c>
      <c r="H2067" s="2">
        <v>5854</v>
      </c>
      <c r="I2067" s="2" t="inlineStr">
        <is>
          <t>$</t>
        </is>
      </c>
      <c r="J2067" s="2">
        <f>HYPERLINK("https://app.astro.lead-studio.pro/product/2b5aac73-26c6-4b10-85c2-0118d2c680bb")</f>
      </c>
    </row>
    <row r="2068" spans="1:10" customHeight="0">
      <c r="A2068" s="2" t="inlineStr">
        <is>
          <t>Коммутаторы (switch)</t>
        </is>
      </c>
      <c r="B2068" s="2" t="inlineStr">
        <is>
          <t>Brocade</t>
        </is>
      </c>
      <c r="C2068" s="2" t="inlineStr">
        <is>
          <t>BR-G610-8-32G-0</t>
        </is>
      </c>
      <c r="D2068" s="2" t="inlineStr">
        <is>
          <t>Коммутатор Brocade Brocade G610S 24-port FC Switch, 8-port licensed, included 8x 32Gb SWL SFP28 transceivers, 1 PS, Rail Kit (+Рельса белая коробка)</t>
        </is>
      </c>
      <c r="E2068" s="2">
        <v>1</v>
      </c>
      <c r="F2068" s="2">
        <v>1</v>
      </c>
      <c r="H2068" s="2">
        <v>6098</v>
      </c>
      <c r="I2068" s="2" t="inlineStr">
        <is>
          <t>$</t>
        </is>
      </c>
      <c r="J2068" s="2">
        <f>HYPERLINK("https://app.astro.lead-studio.pro/product/fee799dd-4aca-49f9-b503-f0e7551dd83c")</f>
      </c>
    </row>
    <row r="2069" spans="1:10" customHeight="0">
      <c r="A2069" s="2" t="inlineStr">
        <is>
          <t>Коммутаторы (switch)</t>
        </is>
      </c>
      <c r="B2069" s="2" t="inlineStr">
        <is>
          <t>CISCO</t>
        </is>
      </c>
      <c r="C2069" s="2" t="inlineStr">
        <is>
          <t>C1000-16T-2G-L</t>
        </is>
      </c>
      <c r="D2069" s="2" t="inlineStr">
        <is>
          <t>Коммутатор CISCO Catalyst 1000 16x GbE RJ-45, 2x1G SFP Fanless, C1000-16T-2G-L</t>
        </is>
      </c>
      <c r="E2069" s="2">
        <v>4</v>
      </c>
      <c r="F2069" s="2">
        <v>4</v>
      </c>
      <c r="H2069" s="2">
        <v>557</v>
      </c>
      <c r="I2069" s="2" t="inlineStr">
        <is>
          <t>$</t>
        </is>
      </c>
      <c r="J2069" s="2">
        <f>HYPERLINK("https://app.astro.lead-studio.pro/product/32145fa3-0a63-4ccf-8929-f491ae370647")</f>
      </c>
    </row>
    <row r="2070" spans="1:10" customHeight="0">
      <c r="A2070" s="2" t="inlineStr">
        <is>
          <t>Коммутаторы (switch)</t>
        </is>
      </c>
      <c r="B2070" s="2" t="inlineStr">
        <is>
          <t>CISCO</t>
        </is>
      </c>
      <c r="C2070" s="2" t="inlineStr">
        <is>
          <t>C1000-24FP-4G-L</t>
        </is>
      </c>
      <c r="D2070" s="2" t="inlineStr">
        <is>
          <t>Коммутатор CISCO Catalyst 1000 24x 10/100/1000 RJ-45 PoE+, 4x 1Gb SFP uplinks, PoE+ 370W, C1000-24FP-4G-L </t>
        </is>
      </c>
      <c r="E2070" s="2">
        <v>4</v>
      </c>
      <c r="F2070" s="2">
        <v>4</v>
      </c>
      <c r="H2070" s="2">
        <v>2929</v>
      </c>
      <c r="I2070" s="2" t="inlineStr">
        <is>
          <t>$</t>
        </is>
      </c>
      <c r="J2070" s="2">
        <f>HYPERLINK("https://app.astro.lead-studio.pro/product/258fdf37-8d48-4144-be5e-63a0df4afddd")</f>
      </c>
    </row>
    <row r="2071" spans="1:10" customHeight="0">
      <c r="A2071" s="2" t="inlineStr">
        <is>
          <t>Коммутаторы (switch)</t>
        </is>
      </c>
      <c r="B2071" s="2" t="inlineStr">
        <is>
          <t>CISCO</t>
        </is>
      </c>
      <c r="C2071" s="2" t="inlineStr">
        <is>
          <t>C1000-24P-4X-L</t>
        </is>
      </c>
      <c r="D2071" s="2" t="inlineStr">
        <is>
          <t>Коммутатор CISCO Catalyst 1000 24x 10/100/1000 Ethernet RJ-45 PoE+ ports and 195W PoE budget, 4x 10G SFP+ uplinks , Fanless, C1000-24P-4X-L</t>
        </is>
      </c>
      <c r="E2071" s="2">
        <v>1</v>
      </c>
      <c r="F2071" s="2">
        <v>1</v>
      </c>
      <c r="H2071" s="2">
        <v>1880</v>
      </c>
      <c r="I2071" s="2" t="inlineStr">
        <is>
          <t>$</t>
        </is>
      </c>
      <c r="J2071" s="2">
        <f>HYPERLINK("https://app.astro.lead-studio.pro/product/01961d0b-71e2-48ff-9793-ca67457a7998")</f>
      </c>
    </row>
    <row r="2072" spans="1:10" customHeight="0">
      <c r="A2072" s="2" t="inlineStr">
        <is>
          <t>Коммутаторы (switch)</t>
        </is>
      </c>
      <c r="B2072" s="2" t="inlineStr">
        <is>
          <t>CISCO</t>
        </is>
      </c>
      <c r="C2072" s="2" t="inlineStr">
        <is>
          <t>C1000-24P-4X-L||bp</t>
        </is>
      </c>
      <c r="D2072" s="2" t="inlineStr">
        <is>
          <t>Коммутатор CISCO Catalyst 1000 24x 10/100/1000 Ethernet RJ-45 PoE+ ports and 195W PoE budget, 4x 10G SFP+ uplinks , Fanless, C1000-24P-4X-L</t>
        </is>
      </c>
      <c r="E2072" s="2">
        <v>1</v>
      </c>
      <c r="F2072" s="2">
        <v>1</v>
      </c>
      <c r="H2072" s="2">
        <v>1659</v>
      </c>
      <c r="I2072" s="2" t="inlineStr">
        <is>
          <t>$</t>
        </is>
      </c>
      <c r="J2072" s="2">
        <f>HYPERLINK("https://app.astro.lead-studio.pro/product/fe3f69bc-7d5d-494b-85e3-60f1fcb1bfae")</f>
      </c>
    </row>
    <row r="2073" spans="1:10" customHeight="0">
      <c r="A2073" s="2" t="inlineStr">
        <is>
          <t>Коммутаторы (switch)</t>
        </is>
      </c>
      <c r="B2073" s="2" t="inlineStr">
        <is>
          <t>CISCO</t>
        </is>
      </c>
      <c r="C2073" s="2" t="inlineStr">
        <is>
          <t>C1000-24T-4X-L</t>
        </is>
      </c>
      <c r="D2073" s="2" t="inlineStr">
        <is>
          <t>Коммутатор CISCO Catalyst 1000 24x 10/100/1000 Ethernet ports RJ-45, 4x 10G SFP+ uplinks , Fanless, C1000-24T-4X-L</t>
        </is>
      </c>
      <c r="E2073" s="2">
        <v>5</v>
      </c>
      <c r="F2073" s="2">
        <v>5</v>
      </c>
      <c r="H2073" s="2">
        <v>680</v>
      </c>
      <c r="I2073" s="2" t="inlineStr">
        <is>
          <t>$</t>
        </is>
      </c>
      <c r="J2073" s="2">
        <f>HYPERLINK("https://app.astro.lead-studio.pro/product/9c3610f1-0ffd-459f-80b2-19e1f24c7b0c")</f>
      </c>
    </row>
    <row r="2074" spans="1:10" customHeight="0">
      <c r="A2074" s="2" t="inlineStr">
        <is>
          <t>Коммутаторы (switch)</t>
        </is>
      </c>
      <c r="B2074" s="2" t="inlineStr">
        <is>
          <t>CISCO</t>
        </is>
      </c>
      <c r="C2074" s="2" t="inlineStr">
        <is>
          <t>C1000-48T-4G-L</t>
        </is>
      </c>
      <c r="D2074" s="2" t="inlineStr">
        <is>
          <t>Коммутатор CISCO Catalyst 1000 48x 10/100/1000 Ethernet RJ-45 ports, 4x 1G SFP uplinks , Fanless, C1000-48T-4G-L</t>
        </is>
      </c>
      <c r="E2074" s="2">
        <v>4</v>
      </c>
      <c r="F2074" s="2">
        <v>4</v>
      </c>
      <c r="H2074" s="2">
        <v>855</v>
      </c>
      <c r="I2074" s="2" t="inlineStr">
        <is>
          <t>$</t>
        </is>
      </c>
      <c r="J2074" s="2">
        <f>HYPERLINK("https://app.astro.lead-studio.pro/product/7734f64c-6322-4daa-8322-065209093d42")</f>
      </c>
    </row>
    <row r="2075" spans="1:10" customHeight="0">
      <c r="A2075" s="2" t="inlineStr">
        <is>
          <t>Коммутаторы (switch)</t>
        </is>
      </c>
      <c r="B2075" s="2" t="inlineStr">
        <is>
          <t>CISCO</t>
        </is>
      </c>
      <c r="C2075" s="2" t="inlineStr">
        <is>
          <t>C1000-48T-4X-L</t>
        </is>
      </c>
      <c r="D2075" s="2" t="inlineStr">
        <is>
          <t>Коммутатор CISCO Catalyst 1000 48x 10/100/1000 Ethernet RJ-45 ports, 4x 10Gb SFP+ uplinks, C1000-48T-4X-L </t>
        </is>
      </c>
      <c r="E2075" s="2">
        <v>4</v>
      </c>
      <c r="F2075" s="2">
        <v>4</v>
      </c>
      <c r="H2075" s="2">
        <v>1058</v>
      </c>
      <c r="I2075" s="2" t="inlineStr">
        <is>
          <t>$</t>
        </is>
      </c>
      <c r="J2075" s="2">
        <f>HYPERLINK("https://app.astro.lead-studio.pro/product/633e9d96-9da3-44dd-a11f-c33278877bc4")</f>
      </c>
    </row>
    <row r="2076" spans="1:10" customHeight="0">
      <c r="A2076" s="2" t="inlineStr">
        <is>
          <t>Коммутаторы (switch)</t>
        </is>
      </c>
      <c r="B2076" s="2" t="inlineStr">
        <is>
          <t>CISCO</t>
        </is>
      </c>
      <c r="C2076" s="2" t="inlineStr">
        <is>
          <t>C1000FE-24P-4G-L</t>
        </is>
      </c>
      <c r="D2076" s="2" t="inlineStr">
        <is>
          <t>Коммутатор CISCO Catalyst 1000 24x 10/100 RJ-45 PoE+, 2x SFP/RJ-45 combo and 2 SFP uplinks, PoE+ 195W, Fanless, C1000FE-24P-4G-L</t>
        </is>
      </c>
      <c r="E2076" s="2">
        <v>4</v>
      </c>
      <c r="F2076" s="2">
        <v>4</v>
      </c>
      <c r="H2076" s="2">
        <v>940</v>
      </c>
      <c r="I2076" s="2" t="inlineStr">
        <is>
          <t>$</t>
        </is>
      </c>
      <c r="J2076" s="2">
        <f>HYPERLINK("https://app.astro.lead-studio.pro/product/e31b5fe0-8a77-4451-93b4-c67568c091cc")</f>
      </c>
    </row>
    <row r="2077" spans="1:10" customHeight="0">
      <c r="A2077" s="2" t="inlineStr">
        <is>
          <t>Коммутаторы (switch)</t>
        </is>
      </c>
      <c r="B2077" s="2" t="inlineStr">
        <is>
          <t>CISCO</t>
        </is>
      </c>
      <c r="C2077" s="2" t="inlineStr">
        <is>
          <t>C1300-16P-2G</t>
        </is>
      </c>
      <c r="D2077" s="2" t="inlineStr">
        <is>
          <t>Коммутатор CISCO Catalyst 1300 16x 10/100/1000 RJ-45 PoE+, 2x 1Gb SFP uplinks, PoE+ 120W, Fanless, C1300-16P-2G-L </t>
        </is>
      </c>
      <c r="E2077" s="2">
        <v>4</v>
      </c>
      <c r="F2077" s="2">
        <v>4</v>
      </c>
      <c r="H2077" s="2">
        <v>1066</v>
      </c>
      <c r="I2077" s="2" t="inlineStr">
        <is>
          <t>$</t>
        </is>
      </c>
      <c r="J2077" s="2">
        <f>HYPERLINK("https://app.astro.lead-studio.pro/product/55ced189-3884-42d4-a151-33d518826e3f")</f>
      </c>
    </row>
    <row r="2078" spans="1:10" customHeight="0">
      <c r="A2078" s="2" t="inlineStr">
        <is>
          <t>Коммутаторы (switch)</t>
        </is>
      </c>
      <c r="B2078" s="2" t="inlineStr">
        <is>
          <t>CISCO</t>
        </is>
      </c>
      <c r="C2078" s="2" t="inlineStr">
        <is>
          <t>C1300-16T-2G</t>
        </is>
      </c>
      <c r="D2078" s="2" t="inlineStr">
        <is>
          <t>Коммутатор CISCO Catalyst 1300 16x 10/100/1000 Ethernet RJ-45 ports, 2x1G SFP uplink, Fanless, C1300-16T-2G </t>
        </is>
      </c>
      <c r="E2078" s="2">
        <v>4</v>
      </c>
      <c r="F2078" s="2">
        <v>4</v>
      </c>
      <c r="H2078" s="2">
        <v>740</v>
      </c>
      <c r="I2078" s="2" t="inlineStr">
        <is>
          <t>$</t>
        </is>
      </c>
      <c r="J2078" s="2">
        <f>HYPERLINK("https://app.astro.lead-studio.pro/product/d4cefd69-fa6c-4255-842a-2ee05ea83730")</f>
      </c>
    </row>
    <row r="2079" spans="1:10" customHeight="0">
      <c r="A2079" s="2" t="inlineStr">
        <is>
          <t>Коммутаторы (switch)</t>
        </is>
      </c>
      <c r="B2079" s="2" t="inlineStr">
        <is>
          <t>CISCO</t>
        </is>
      </c>
      <c r="C2079" s="2" t="inlineStr">
        <is>
          <t>C9200-48P-E</t>
        </is>
      </c>
      <c r="D2079" s="2" t="inlineStr">
        <is>
          <t>Коммутатор CISCO Catalyst 9200 48-port full PoE+, Modular uplink option, PS 1x1kW, Network Essentials, PoE 740/1440W , C9200-48P-E</t>
        </is>
      </c>
      <c r="E2079" s="2">
        <v>1</v>
      </c>
      <c r="F2079" s="2">
        <v>1</v>
      </c>
      <c r="H2079" s="2">
        <v>3890</v>
      </c>
      <c r="I2079" s="2" t="inlineStr">
        <is>
          <t>$</t>
        </is>
      </c>
      <c r="J2079" s="2">
        <f>HYPERLINK("https://app.astro.lead-studio.pro/product/39dcb4e0-03ea-48f8-a645-7f537d1f6850")</f>
      </c>
    </row>
    <row r="2080" spans="1:10" customHeight="0">
      <c r="A2080" s="2" t="inlineStr">
        <is>
          <t>Коммутаторы (switch)</t>
        </is>
      </c>
      <c r="B2080" s="2" t="inlineStr">
        <is>
          <t>CISCO</t>
        </is>
      </c>
      <c r="C2080" s="2" t="inlineStr">
        <is>
          <t>C9200L-24P-4X-E</t>
        </is>
      </c>
      <c r="D2080" s="2" t="inlineStr">
        <is>
          <t>Коммутатор CISCO Catalyst 9200L 24-port full PoE+, 4x10Gb uplink, PS 1x600W, Network Essentials, PoE+ 370/740W , C9200L-24P-4X-E</t>
        </is>
      </c>
      <c r="E2080" s="2">
        <v>3</v>
      </c>
      <c r="F2080" s="2">
        <v>3</v>
      </c>
      <c r="H2080" s="2">
        <v>2529</v>
      </c>
      <c r="I2080" s="2" t="inlineStr">
        <is>
          <t>$</t>
        </is>
      </c>
      <c r="J2080" s="2">
        <f>HYPERLINK("https://app.astro.lead-studio.pro/product/6f3ec739-66e6-4f73-9df6-3b362361c74c")</f>
      </c>
    </row>
    <row r="2081" spans="1:10" customHeight="0">
      <c r="A2081" s="2" t="inlineStr">
        <is>
          <t>Коммутаторы (switch)</t>
        </is>
      </c>
      <c r="B2081" s="2" t="inlineStr">
        <is>
          <t>CISCO</t>
        </is>
      </c>
      <c r="C2081" s="2" t="inlineStr">
        <is>
          <t>C9200L-24T-4X-E</t>
        </is>
      </c>
      <c r="D2081" s="2" t="inlineStr">
        <is>
          <t>Коммутатор CISCO Catalyst 9200L 24-port Data, 4x10Gb uplink, PS 1x600W, Network Essentials, C9200L-24T-4X-E </t>
        </is>
      </c>
      <c r="E2081" s="2">
        <v>2</v>
      </c>
      <c r="F2081" s="2">
        <v>2</v>
      </c>
      <c r="H2081" s="2">
        <v>2294</v>
      </c>
      <c r="I2081" s="2" t="inlineStr">
        <is>
          <t>$</t>
        </is>
      </c>
      <c r="J2081" s="2">
        <f>HYPERLINK("https://app.astro.lead-studio.pro/product/747565f1-c699-426f-9ec0-bddfc424adec")</f>
      </c>
    </row>
    <row r="2082" spans="1:10" customHeight="0">
      <c r="A2082" s="2" t="inlineStr">
        <is>
          <t>Коммутаторы (switch)</t>
        </is>
      </c>
      <c r="B2082" s="2" t="inlineStr">
        <is>
          <t>CISCO</t>
        </is>
      </c>
      <c r="C2082" s="2" t="inlineStr">
        <is>
          <t>C9200L-48P-4X-E</t>
        </is>
      </c>
      <c r="D2082" s="2" t="inlineStr">
        <is>
          <t>Коммутатор CISCO Catalyst 9200L 48-port PoE+ 4x10G uplink Switch, Network Essentials , C9200L-48P-4X-E</t>
        </is>
      </c>
      <c r="E2082" s="2">
        <v>1</v>
      </c>
      <c r="F2082" s="2">
        <v>1</v>
      </c>
      <c r="H2082" s="2">
        <v>4214</v>
      </c>
      <c r="I2082" s="2" t="inlineStr">
        <is>
          <t>$</t>
        </is>
      </c>
      <c r="J2082" s="2">
        <f>HYPERLINK("https://app.astro.lead-studio.pro/product/f1ba4405-ef23-4312-a96f-fba884fc755e")</f>
      </c>
    </row>
    <row r="2083" spans="1:10" customHeight="0">
      <c r="A2083" s="2" t="inlineStr">
        <is>
          <t>Коммутаторы (switch)</t>
        </is>
      </c>
      <c r="B2083" s="2" t="inlineStr">
        <is>
          <t>CISCO</t>
        </is>
      </c>
      <c r="C2083" s="2" t="inlineStr">
        <is>
          <t>C9200L-48T-4X-E</t>
        </is>
      </c>
      <c r="D2083" s="2" t="inlineStr">
        <is>
          <t>Коммутатор CISCO Catalyst 9200L 48-port Data, 4x10G uplink, PS 1x125W, Network Essentials, C9200L-48T-4X-E </t>
        </is>
      </c>
      <c r="E2083" s="2">
        <v>1</v>
      </c>
      <c r="F2083" s="2">
        <v>1</v>
      </c>
      <c r="H2083" s="2">
        <v>4263</v>
      </c>
      <c r="I2083" s="2" t="inlineStr">
        <is>
          <t>$</t>
        </is>
      </c>
      <c r="J2083" s="2">
        <f>HYPERLINK("https://app.astro.lead-studio.pro/product/8f04c51f-1a75-4656-b7b9-300a4d847523")</f>
      </c>
    </row>
    <row r="2084" spans="1:10" customHeight="0">
      <c r="A2084" s="2" t="inlineStr">
        <is>
          <t>Коммутаторы (switch)</t>
        </is>
      </c>
      <c r="B2084" s="2" t="inlineStr">
        <is>
          <t>CISCO</t>
        </is>
      </c>
      <c r="C2084" s="2" t="inlineStr">
        <is>
          <t>C9300-24P-E</t>
        </is>
      </c>
      <c r="D2084" s="2" t="inlineStr">
        <is>
          <t>Коммутатор CISCO Catalyst 9300 24-port 1G copper with modular uplinks, PoE+, Network Essentials, C9300-24P-E</t>
        </is>
      </c>
      <c r="E2084" s="2">
        <v>4</v>
      </c>
      <c r="F2084" s="2">
        <v>4</v>
      </c>
      <c r="H2084" s="2">
        <v>1712</v>
      </c>
      <c r="I2084" s="2" t="inlineStr">
        <is>
          <t>$</t>
        </is>
      </c>
      <c r="J2084" s="2">
        <f>HYPERLINK("https://app.astro.lead-studio.pro/product/8031ee45-37fb-4118-ae75-85e250af5e62")</f>
      </c>
    </row>
    <row r="2085" spans="1:10" customHeight="0">
      <c r="A2085" s="2" t="inlineStr">
        <is>
          <t>Коммутаторы (switch)</t>
        </is>
      </c>
      <c r="B2085" s="2" t="inlineStr">
        <is>
          <t>CISCO</t>
        </is>
      </c>
      <c r="C2085" s="2" t="inlineStr">
        <is>
          <t>C9300-24T-E</t>
        </is>
      </c>
      <c r="D2085" s="2" t="inlineStr">
        <is>
          <t>Коммутатор CISCO Catalyst 9300 24-port 1Gb copper with modular uplinks, PS 1x350W, Network Essentials, C9300-24T-E </t>
        </is>
      </c>
      <c r="E2085" s="2">
        <v>2</v>
      </c>
      <c r="F2085" s="2">
        <v>2</v>
      </c>
      <c r="H2085" s="2">
        <v>1596</v>
      </c>
      <c r="I2085" s="2" t="inlineStr">
        <is>
          <t>$</t>
        </is>
      </c>
      <c r="J2085" s="2">
        <f>HYPERLINK("https://app.astro.lead-studio.pro/product/5f13ae34-acd7-4976-bd6f-9cdc81d196d5")</f>
      </c>
    </row>
    <row r="2086" spans="1:10" customHeight="0">
      <c r="A2086" s="2" t="inlineStr">
        <is>
          <t>Коммутаторы (switch)</t>
        </is>
      </c>
      <c r="B2086" s="2" t="inlineStr">
        <is>
          <t>CISCO</t>
        </is>
      </c>
      <c r="C2086" s="2" t="inlineStr">
        <is>
          <t>C9300-48P-A</t>
        </is>
      </c>
      <c r="D2086" s="2" t="inlineStr">
        <is>
          <t>Коммутатор CISCO Catalyst 9300 48-port 1Gb copper with modular uplinks, PoE+, PS 1x715W, PoE+ 437W/1440W, DNA Network Advantage, C9300-48P-A</t>
        </is>
      </c>
      <c r="E2086" s="2">
        <v>2</v>
      </c>
      <c r="F2086" s="2">
        <v>2</v>
      </c>
      <c r="H2086" s="2">
        <v>4621</v>
      </c>
      <c r="I2086" s="2" t="inlineStr">
        <is>
          <t>$</t>
        </is>
      </c>
      <c r="J2086" s="2">
        <f>HYPERLINK("https://app.astro.lead-studio.pro/product/2d39d060-d3e9-4e5d-8665-cced10ce83d8")</f>
      </c>
    </row>
    <row r="2087" spans="1:10" customHeight="0">
      <c r="A2087" s="2" t="inlineStr">
        <is>
          <t>Коммутаторы (switch)</t>
        </is>
      </c>
      <c r="B2087" s="2" t="inlineStr">
        <is>
          <t>CISCO</t>
        </is>
      </c>
      <c r="C2087" s="2" t="inlineStr">
        <is>
          <t>C9300-48P-E</t>
        </is>
      </c>
      <c r="D2087" s="2" t="inlineStr">
        <is>
          <t>Коммутатор CISCO Catalyst 9300 48-port 1Gb copper with modular uplinks, PoE+, PS 1x715W, PoE+ 437W/1440W, DNA Network Essentials, C9300-48P-E</t>
        </is>
      </c>
      <c r="E2087" s="2">
        <v>2</v>
      </c>
      <c r="F2087" s="2">
        <v>2</v>
      </c>
      <c r="H2087" s="2">
        <v>3346</v>
      </c>
      <c r="I2087" s="2" t="inlineStr">
        <is>
          <t>$</t>
        </is>
      </c>
      <c r="J2087" s="2">
        <f>HYPERLINK("https://app.astro.lead-studio.pro/product/efed9d57-a2e3-4355-90ff-1981c5ecb42f")</f>
      </c>
    </row>
    <row r="2088" spans="1:10" customHeight="0">
      <c r="A2088" s="2" t="inlineStr">
        <is>
          <t>Коммутаторы (switch)</t>
        </is>
      </c>
      <c r="B2088" s="2" t="inlineStr">
        <is>
          <t>CISCO</t>
        </is>
      </c>
      <c r="C2088" s="2" t="inlineStr">
        <is>
          <t>C9300-48T-A</t>
        </is>
      </c>
      <c r="D2088" s="2" t="inlineStr">
        <is>
          <t>Коммутатор CISCO Catalyst 9300 48-port 1Gb copper with modular uplinks, PS 1x350W, Network Advantage, C9300-48T-A </t>
        </is>
      </c>
      <c r="E2088" s="2">
        <v>1</v>
      </c>
      <c r="F2088" s="2">
        <v>1</v>
      </c>
      <c r="H2088" s="2">
        <v>4808</v>
      </c>
      <c r="I2088" s="2" t="inlineStr">
        <is>
          <t>$</t>
        </is>
      </c>
      <c r="J2088" s="2">
        <f>HYPERLINK("https://app.astro.lead-studio.pro/product/689d7a28-42f4-4f4f-916e-54c6e2774c82")</f>
      </c>
    </row>
    <row r="2089" spans="1:10" customHeight="0">
      <c r="A2089" s="2" t="inlineStr">
        <is>
          <t>Коммутаторы (switch)</t>
        </is>
      </c>
      <c r="B2089" s="2" t="inlineStr">
        <is>
          <t>CISCO</t>
        </is>
      </c>
      <c r="C2089" s="2" t="inlineStr">
        <is>
          <t>C9300-48UXM-A</t>
        </is>
      </c>
      <c r="D2089" s="2" t="inlineStr">
        <is>
          <t>Коммутатор CISCO Catalyst 9300 48-port (36 ports 100M/1G/2.5G + 12 ports Multigigabit 10G/5G/2.5G/1G/100M) copper with modular uplinks, UPOE, 1x PS 1100W (upto 2), Network Advantage, C9300-48UXM-A</t>
        </is>
      </c>
      <c r="E2089" s="2">
        <v>2</v>
      </c>
      <c r="F2089" s="2">
        <v>2</v>
      </c>
      <c r="H2089" s="2">
        <v>7963</v>
      </c>
      <c r="I2089" s="2" t="inlineStr">
        <is>
          <t>$</t>
        </is>
      </c>
      <c r="J2089" s="2">
        <f>HYPERLINK("https://app.astro.lead-studio.pro/product/854bd535-9524-442b-8715-00d188195489")</f>
      </c>
    </row>
    <row r="2090" spans="1:10" customHeight="0">
      <c r="A2090" s="2" t="inlineStr">
        <is>
          <t>Коммутаторы (switch)</t>
        </is>
      </c>
      <c r="B2090" s="2" t="inlineStr">
        <is>
          <t>CISCO</t>
        </is>
      </c>
      <c r="C2090" s="2" t="inlineStr">
        <is>
          <t>C9300L-24P-4G-A</t>
        </is>
      </c>
      <c r="D2090" s="2" t="inlineStr">
        <is>
          <t>Коммутатор CISCO Catalyst 9300L 24-port 1G copper with fixed 4x1Gb SFP uplinks, PoE+, DNA Network Advantage Lic , C9300L-24P-4G-A</t>
        </is>
      </c>
      <c r="E2090" s="2">
        <v>2</v>
      </c>
      <c r="F2090" s="2">
        <v>2</v>
      </c>
      <c r="H2090" s="2">
        <v>4395</v>
      </c>
      <c r="I2090" s="2" t="inlineStr">
        <is>
          <t>$</t>
        </is>
      </c>
      <c r="J2090" s="2">
        <f>HYPERLINK("https://app.astro.lead-studio.pro/product/9d0ac8d1-321c-469f-954f-ad79b84656a2")</f>
      </c>
    </row>
    <row r="2091" spans="1:10" customHeight="0">
      <c r="A2091" s="2" t="inlineStr">
        <is>
          <t>Коммутаторы (switch)</t>
        </is>
      </c>
      <c r="B2091" s="2" t="inlineStr">
        <is>
          <t>CISCO</t>
        </is>
      </c>
      <c r="C2091" s="2" t="inlineStr">
        <is>
          <t>C9300L-24P-4X-A</t>
        </is>
      </c>
      <c r="D2091" s="2" t="inlineStr">
        <is>
          <t>Коммутатор CISCO Catalyst 9300 24-port 1G copper with fixed 4x10G/1G SFP+ uplinks, PoE+ Network Advantage , C9300L-24P-4X-A</t>
        </is>
      </c>
      <c r="E2091" s="2">
        <v>2</v>
      </c>
      <c r="F2091" s="2">
        <v>2</v>
      </c>
      <c r="H2091" s="2">
        <v>4633</v>
      </c>
      <c r="I2091" s="2" t="inlineStr">
        <is>
          <t>$</t>
        </is>
      </c>
      <c r="J2091" s="2">
        <f>HYPERLINK("https://app.astro.lead-studio.pro/product/e6c2a510-b2c4-4377-8dba-d39414c0e637")</f>
      </c>
    </row>
    <row r="2092" spans="1:10" customHeight="0">
      <c r="A2092" s="2" t="inlineStr">
        <is>
          <t>Коммутаторы (switch)</t>
        </is>
      </c>
      <c r="B2092" s="2" t="inlineStr">
        <is>
          <t>CISCO</t>
        </is>
      </c>
      <c r="C2092" s="2" t="inlineStr">
        <is>
          <t>C9300L-24T-4G-A</t>
        </is>
      </c>
      <c r="D2092" s="2" t="inlineStr">
        <is>
          <t>Коммутатор CISCO Catalyst 9300L 24-port data 1Gb copper, with fixed 4x1G SFP uplinks, PS 350W,  DNA License Network Advantage, C9300L-24T-4G-A</t>
        </is>
      </c>
      <c r="E2092" s="2">
        <v>2</v>
      </c>
      <c r="F2092" s="2">
        <v>2</v>
      </c>
      <c r="H2092" s="2">
        <v>3851</v>
      </c>
      <c r="I2092" s="2" t="inlineStr">
        <is>
          <t>$</t>
        </is>
      </c>
      <c r="J2092" s="2">
        <f>HYPERLINK("https://app.astro.lead-studio.pro/product/fad4142d-b734-4e99-bc8d-5fcb76995cfd")</f>
      </c>
    </row>
    <row r="2093" spans="1:10" customHeight="0">
      <c r="A2093" s="2" t="inlineStr">
        <is>
          <t>Коммутаторы (switch)</t>
        </is>
      </c>
      <c r="B2093" s="2" t="inlineStr">
        <is>
          <t>CISCO</t>
        </is>
      </c>
      <c r="C2093" s="2" t="inlineStr">
        <is>
          <t>C9300L-24T-4X-E</t>
        </is>
      </c>
      <c r="D2093" s="2" t="inlineStr">
        <is>
          <t>Коммутатор CISCO Catalyst 9300L 24-port data 1Gb copper, with fixed 4x10Gb SFP+ uplinks, DNA Network Essentials Lic, , C9300L-24T-4X-E</t>
        </is>
      </c>
      <c r="E2093" s="2">
        <v>2</v>
      </c>
      <c r="F2093" s="2">
        <v>2</v>
      </c>
      <c r="H2093" s="2">
        <v>3939</v>
      </c>
      <c r="I2093" s="2" t="inlineStr">
        <is>
          <t>$</t>
        </is>
      </c>
      <c r="J2093" s="2">
        <f>HYPERLINK("https://app.astro.lead-studio.pro/product/9a60be9c-6d00-41c4-bdea-12be5064641a")</f>
      </c>
    </row>
    <row r="2094" spans="1:10" customHeight="0">
      <c r="A2094" s="2" t="inlineStr">
        <is>
          <t>Коммутаторы (switch)</t>
        </is>
      </c>
      <c r="B2094" s="2" t="inlineStr">
        <is>
          <t>CISCO</t>
        </is>
      </c>
      <c r="C2094" s="2" t="inlineStr">
        <is>
          <t>C9300L-48P-4G-A</t>
        </is>
      </c>
      <c r="D2094" s="2" t="inlineStr">
        <is>
          <t>Коммутатор CISCO Catalyst 9300L 48-port 1G copper with fixed 4x1G SFP uplinks, PoE+ 505W/1440W, PS 715W, DNA Network Advantage Lic, C9300L-48P-4G-A</t>
        </is>
      </c>
      <c r="E2094" s="2">
        <v>2</v>
      </c>
      <c r="F2094" s="2">
        <v>2</v>
      </c>
      <c r="H2094" s="2">
        <v>5996</v>
      </c>
      <c r="I2094" s="2" t="inlineStr">
        <is>
          <t>$</t>
        </is>
      </c>
      <c r="J2094" s="2">
        <f>HYPERLINK("https://app.astro.lead-studio.pro/product/6299eb85-2b1d-4721-9153-49edc07a2e44")</f>
      </c>
    </row>
    <row r="2095" spans="1:10" customHeight="0">
      <c r="A2095" s="2" t="inlineStr">
        <is>
          <t>Коммутаторы (switch)</t>
        </is>
      </c>
      <c r="B2095" s="2" t="inlineStr">
        <is>
          <t>CISCO</t>
        </is>
      </c>
      <c r="C2095" s="2" t="inlineStr">
        <is>
          <t>C9300L-48P-4X-E</t>
        </is>
      </c>
      <c r="D2095" s="2" t="inlineStr">
        <is>
          <t>Коммутатор CISCO Catalyst 9300 48-port 1G copper with fixed 4x10G/1G SFP+ uplinks, PoE+ Network Essentials , C9300L-48P-4X-E</t>
        </is>
      </c>
      <c r="E2095" s="2">
        <v>1</v>
      </c>
      <c r="F2095" s="2">
        <v>1</v>
      </c>
      <c r="H2095" s="2">
        <v>6072</v>
      </c>
      <c r="I2095" s="2" t="inlineStr">
        <is>
          <t>$</t>
        </is>
      </c>
      <c r="J2095" s="2">
        <f>HYPERLINK("https://app.astro.lead-studio.pro/product/c56a0164-314a-4523-af79-69545169b66c")</f>
      </c>
    </row>
    <row r="2096" spans="1:10" customHeight="0">
      <c r="A2096" s="2" t="inlineStr">
        <is>
          <t>Коммутаторы (switch)</t>
        </is>
      </c>
      <c r="B2096" s="2" t="inlineStr">
        <is>
          <t>CISCO</t>
        </is>
      </c>
      <c r="C2096" s="2" t="inlineStr">
        <is>
          <t>C9300L-48T-4G-E</t>
        </is>
      </c>
      <c r="D2096" s="2" t="inlineStr">
        <is>
          <t>Коммутатор CISCO Catalyst 9300 48-port 1G copper, with fixed 4x1G SFP uplinks, data only Network Essentials , C9300L-48T-4G-E</t>
        </is>
      </c>
      <c r="E2096" s="2">
        <v>1</v>
      </c>
      <c r="F2096" s="2">
        <v>1</v>
      </c>
      <c r="H2096" s="2">
        <v>2418</v>
      </c>
      <c r="I2096" s="2" t="inlineStr">
        <is>
          <t>$</t>
        </is>
      </c>
      <c r="J2096" s="2">
        <f>HYPERLINK("https://app.astro.lead-studio.pro/product/159c1330-be49-4054-8dbb-a6f055eff653")</f>
      </c>
    </row>
    <row r="2097" spans="1:10" customHeight="0">
      <c r="A2097" s="2" t="inlineStr">
        <is>
          <t>Коммутаторы (switch)</t>
        </is>
      </c>
      <c r="B2097" s="2" t="inlineStr">
        <is>
          <t>CISCO</t>
        </is>
      </c>
      <c r="C2097" s="2" t="inlineStr">
        <is>
          <t>C9300X-24Y-A</t>
        </is>
      </c>
      <c r="D2097" s="2" t="inlineStr">
        <is>
          <t>Коммутатор CISCO Catalyst 9300 24 port 25G/10G/1G SFP28 with modular uplinks, PS 1x715W, HSEC license active, DNA Network Advantage, C9300X-24Y-A</t>
        </is>
      </c>
      <c r="E2097" s="2">
        <v>1</v>
      </c>
      <c r="F2097" s="2">
        <v>1</v>
      </c>
      <c r="H2097" s="2">
        <v>10189</v>
      </c>
      <c r="I2097" s="2" t="inlineStr">
        <is>
          <t>$</t>
        </is>
      </c>
      <c r="J2097" s="2">
        <f>HYPERLINK("https://app.astro.lead-studio.pro/product/d2d32399-5ed9-4e44-9e2b-f3ad5027ba41")</f>
      </c>
    </row>
    <row r="2098" spans="1:10" customHeight="0">
      <c r="A2098" s="2" t="inlineStr">
        <is>
          <t>Коммутаторы (switch)</t>
        </is>
      </c>
      <c r="B2098" s="2" t="inlineStr">
        <is>
          <t>CISCO</t>
        </is>
      </c>
      <c r="C2098" s="2" t="inlineStr">
        <is>
          <t>C9500-48Y4C-A</t>
        </is>
      </c>
      <c r="D2098" s="2" t="inlineStr">
        <is>
          <t>Коммутатор CISCO Catalyst 9500 48-port 10/25Gb SFP28 switch, 4x 40/100Gb Uplink, NW Advantage License, C9500-48Y4C-A </t>
        </is>
      </c>
      <c r="E2098" s="2">
        <v>2</v>
      </c>
      <c r="F2098" s="2">
        <v>2</v>
      </c>
      <c r="H2098" s="2">
        <v>12125</v>
      </c>
      <c r="I2098" s="2" t="inlineStr">
        <is>
          <t>$</t>
        </is>
      </c>
      <c r="J2098" s="2">
        <f>HYPERLINK("https://app.astro.lead-studio.pro/product/14c60251-155f-4145-b40d-2d7ccd6d6491")</f>
      </c>
    </row>
    <row r="2099" spans="1:10" customHeight="0">
      <c r="A2099" s="2" t="inlineStr">
        <is>
          <t>Коммутаторы (switch)</t>
        </is>
      </c>
      <c r="B2099" s="2" t="inlineStr">
        <is>
          <t>CISCO</t>
        </is>
      </c>
      <c r="C2099" s="2" t="inlineStr">
        <is>
          <t>CBS350-48P-4G-CN</t>
        </is>
      </c>
      <c r="D2099" s="2" t="inlineStr">
        <is>
          <t>Коммутатор CISCO CBS350 48x10/100/1000 PoE+ ports 370W power budget, 4x 1Gb SFP uplink, 1xFan, Mounting Kit, CBS350-48P-4G</t>
        </is>
      </c>
      <c r="E2099" s="2">
        <v>2</v>
      </c>
      <c r="F2099" s="2">
        <v>2</v>
      </c>
      <c r="H2099" s="2">
        <v>1770</v>
      </c>
      <c r="I2099" s="2" t="inlineStr">
        <is>
          <t>$</t>
        </is>
      </c>
      <c r="J2099" s="2">
        <f>HYPERLINK("https://app.astro.lead-studio.pro/product/400c90d8-2c82-4165-8ca0-d2fec6632162")</f>
      </c>
    </row>
    <row r="2100" spans="1:10" customHeight="0">
      <c r="A2100" s="2" t="inlineStr">
        <is>
          <t>Коммутаторы (switch)</t>
        </is>
      </c>
      <c r="B2100" s="2" t="inlineStr">
        <is>
          <t>MIKROTIK</t>
        </is>
      </c>
      <c r="C2100" s="2" t="inlineStr">
        <is>
          <t>CRS326-24G-2S+IN</t>
        </is>
      </c>
      <c r="D2100" s="2" t="inlineStr">
        <is>
          <t>Коммутатор MIKROTIK CRS326-24G-2S+IN with 800 MHz CPU, 512MB RAM, 24xGigabit LAN, 2xSFP+ cages, RouterOS L5 or SwitchOS (dual boot), desktop case, PSU, (006462)</t>
        </is>
      </c>
      <c r="E2100" s="2">
        <v>3</v>
      </c>
      <c r="F2100" s="2">
        <v>3</v>
      </c>
      <c r="H2100" s="2">
        <v>317</v>
      </c>
      <c r="I2100" s="2" t="inlineStr">
        <is>
          <t>$</t>
        </is>
      </c>
      <c r="J2100" s="2">
        <f>HYPERLINK("https://app.astro.lead-studio.pro/product/860d283e-39ea-43cf-b064-f7a40a1b13e8")</f>
      </c>
    </row>
    <row r="2101" spans="1:10" customHeight="0">
      <c r="A2101" s="2" t="inlineStr">
        <is>
          <t>Коммутаторы (switch)</t>
        </is>
      </c>
      <c r="B2101" s="2" t="inlineStr">
        <is>
          <t>MIKROTIK</t>
        </is>
      </c>
      <c r="C2101" s="2" t="inlineStr">
        <is>
          <t>CRS326-24S+2Q+RM</t>
        </is>
      </c>
      <c r="D2101" s="2" t="inlineStr">
        <is>
          <t>Коммутатор MIKROTIK CRS326-24S+2Q+RM Cloud Router Switch 326-24S+2Q+RM with 2 x 40G QSFP+ cages, 24 10G SFP+ cages, 1x LAN port for management, RouterOS L5 or SwitchOS (dual boot), 1U rackmount enclosure, Dual redundant PSU</t>
        </is>
      </c>
      <c r="E2101" s="2">
        <v>3</v>
      </c>
      <c r="F2101" s="2">
        <v>3</v>
      </c>
      <c r="H2101" s="2">
        <v>916</v>
      </c>
      <c r="I2101" s="2" t="inlineStr">
        <is>
          <t>$</t>
        </is>
      </c>
      <c r="J2101" s="2">
        <f>HYPERLINK("https://app.astro.lead-studio.pro/product/b22edc14-5776-4d95-96f8-8b6cfd3ece06")</f>
      </c>
    </row>
    <row r="2102" spans="1:10" customHeight="0">
      <c r="A2102" s="2" t="inlineStr">
        <is>
          <t>Коммутаторы (switch)</t>
        </is>
      </c>
      <c r="B2102" s="2" t="inlineStr">
        <is>
          <t>MIKROTIK</t>
        </is>
      </c>
      <c r="C2102" s="2" t="inlineStr">
        <is>
          <t>CRS328-24P-4S+RM</t>
        </is>
      </c>
      <c r="D2102" s="2" t="inlineStr">
        <is>
          <t>Коммутатор MIKROTIK CRS328-24P-4S+RM Cloud Router Switch with 800 MHz CPU, 512MB RAM, 24xGigabit LAN (all PoE-out), 4xSFP+ cages, RouterOS L5 or SwitchOS (dual boot), 1U rackmount case, 500W built-in PSU {2} (002228)</t>
        </is>
      </c>
      <c r="E2102" s="2">
        <v>28</v>
      </c>
      <c r="F2102" s="2">
        <v>28</v>
      </c>
      <c r="H2102" s="2">
        <v>683</v>
      </c>
      <c r="I2102" s="2" t="inlineStr">
        <is>
          <t>$</t>
        </is>
      </c>
      <c r="J2102" s="2">
        <f>HYPERLINK("https://app.astro.lead-studio.pro/product/13a50633-ae54-4450-92b6-78a7ba5282e7")</f>
      </c>
    </row>
    <row r="2103" spans="1:10" customHeight="0">
      <c r="A2103" s="2" t="inlineStr">
        <is>
          <t>Коммутаторы (switch)</t>
        </is>
      </c>
      <c r="B2103" s="2" t="inlineStr">
        <is>
          <t>MIKROTIK</t>
        </is>
      </c>
      <c r="C2103" s="2" t="inlineStr">
        <is>
          <t>CRS354-48P-4S+2Q+RM</t>
        </is>
      </c>
      <c r="D2103" s="2" t="inlineStr">
        <is>
          <t>Коммутатор MIKROTIK CRS354-48P-4S+2Q+RM Cloud Router Switch 354-48P-4S+2Q+RM with 48 x Gigabit RJ45 LAN (all PoE-out), 4 x 10G SFP+ cages, 2 x 40G QSFP+ cages, RouterOS L5, 1U rackmount enclosure, 750W PSU (002273)</t>
        </is>
      </c>
      <c r="E2103" s="2">
        <v>1</v>
      </c>
      <c r="F2103" s="2">
        <v>1</v>
      </c>
      <c r="H2103" s="2">
        <v>1472</v>
      </c>
      <c r="I2103" s="2" t="inlineStr">
        <is>
          <t>$</t>
        </is>
      </c>
      <c r="J2103" s="2">
        <f>HYPERLINK("https://app.astro.lead-studio.pro/product/22c83ffa-c658-4cfd-a988-0cac7798f8d5")</f>
      </c>
    </row>
    <row r="2104" spans="1:10" customHeight="0">
      <c r="A2104" s="2" t="inlineStr">
        <is>
          <t>Коммутаторы (switch)</t>
        </is>
      </c>
      <c r="B2104" s="2" t="inlineStr">
        <is>
          <t>MIKROTIK</t>
        </is>
      </c>
      <c r="C2104" s="2" t="inlineStr">
        <is>
          <t>CRS504-4XQ-IN</t>
        </is>
      </c>
      <c r="D2104" s="2" t="inlineStr">
        <is>
          <t>Коммутатор MIKROTIK CRS504-4XQ-IN Network Router Switch </t>
        </is>
      </c>
      <c r="E2104" s="2">
        <v>20</v>
      </c>
      <c r="F2104" s="2">
        <v>20</v>
      </c>
      <c r="H2104" s="2">
        <v>461</v>
      </c>
      <c r="I2104" s="2" t="inlineStr">
        <is>
          <t>$</t>
        </is>
      </c>
      <c r="J2104" s="2">
        <f>HYPERLINK("https://app.astro.lead-studio.pro/product/5c07f3ca-bf15-45ce-9a1c-25b213c9f8bf")</f>
      </c>
    </row>
    <row r="2105" spans="1:10" customHeight="0">
      <c r="A2105" s="2" t="inlineStr">
        <is>
          <t>Коммутаторы (switch)</t>
        </is>
      </c>
      <c r="B2105" s="2" t="inlineStr">
        <is>
          <t>MIKROTIK</t>
        </is>
      </c>
      <c r="C2105" s="2" t="inlineStr">
        <is>
          <t>CRS504-4XQ-OUT</t>
        </is>
      </c>
      <c r="D2105" s="2" t="inlineStr">
        <is>
          <t>Коммутатор MIKROTIK CRS504-4XQ-OUT </t>
        </is>
      </c>
      <c r="E2105" s="2">
        <v>19</v>
      </c>
      <c r="F2105" s="2">
        <v>19</v>
      </c>
      <c r="H2105" s="2">
        <v>502</v>
      </c>
      <c r="I2105" s="2" t="inlineStr">
        <is>
          <t>$</t>
        </is>
      </c>
      <c r="J2105" s="2">
        <f>HYPERLINK("https://app.astro.lead-studio.pro/product/4cf03794-adaa-4689-9588-77d3876a5aab")</f>
      </c>
    </row>
    <row r="2106" spans="1:10" customHeight="0">
      <c r="A2106" s="2" t="inlineStr">
        <is>
          <t>Коммутаторы (switch)</t>
        </is>
      </c>
      <c r="B2106" s="2" t="inlineStr">
        <is>
          <t>MIKROTIK</t>
        </is>
      </c>
      <c r="C2106" s="2" t="inlineStr">
        <is>
          <t>CRS510-8XS-2XQ-IN</t>
        </is>
      </c>
      <c r="D2106" s="2" t="inlineStr">
        <is>
          <t>Коммутатор MIKROTIK CRS510-8XS-2XQ-IN Cloud Router Switch </t>
        </is>
      </c>
      <c r="E2106" s="2">
        <v>22</v>
      </c>
      <c r="F2106" s="2">
        <v>22</v>
      </c>
      <c r="H2106" s="2">
        <v>1304</v>
      </c>
      <c r="I2106" s="2" t="inlineStr">
        <is>
          <t>$</t>
        </is>
      </c>
      <c r="J2106" s="2">
        <f>HYPERLINK("https://app.astro.lead-studio.pro/product/ae565c2b-83e6-477f-a6b1-eb099819c924")</f>
      </c>
    </row>
    <row r="2107" spans="1:10" customHeight="0">
      <c r="A2107" s="2" t="inlineStr">
        <is>
          <t>Коммутаторы (switch)</t>
        </is>
      </c>
      <c r="B2107" s="2" t="inlineStr">
        <is>
          <t>D-Link</t>
        </is>
      </c>
      <c r="C2107" s="2" t="inlineStr">
        <is>
          <t>DGS-1210-28MP/ME/B2A</t>
        </is>
      </c>
      <c r="D2107" s="2" t="inlineStr">
        <is>
          <t>Коммутатор D-Link DGS-1210-28MP/ME/B2A Управляемый L2 коммутатор с 24 портами 10/100/1000Base-T и 4 портами 1000Base-X SFP (24 порта PoE 802.3af/at, PoE-бюджет 370 Вт)</t>
        </is>
      </c>
      <c r="E2107" s="2">
        <v>2</v>
      </c>
      <c r="F2107" s="2">
        <v>2</v>
      </c>
      <c r="H2107" s="2">
        <v>674</v>
      </c>
      <c r="I2107" s="2" t="inlineStr">
        <is>
          <t>$</t>
        </is>
      </c>
      <c r="J2107" s="2">
        <f>HYPERLINK("https://app.astro.lead-studio.pro/product/96916b27-351a-4aef-876d-a69e6bbd07a3")</f>
      </c>
    </row>
    <row r="2108" spans="1:10" customHeight="0">
      <c r="A2108" s="2" t="inlineStr">
        <is>
          <t>Коммутаторы (switch)</t>
        </is>
      </c>
      <c r="B2108" s="2" t="inlineStr">
        <is>
          <t>D-Link</t>
        </is>
      </c>
      <c r="C2108" s="2" t="inlineStr">
        <is>
          <t>DGS-1210-28X/ME/B1B</t>
        </is>
      </c>
      <c r="D2108" s="2" t="inlineStr">
        <is>
          <t>Коммутатор D-Link DGS-1210-28X/ME/B1B Управляемый L2 коммутатор с 24 портами 10/100/1000Base-T и 4 портами 10GBase-X SFP+</t>
        </is>
      </c>
      <c r="E2108" s="2">
        <v>1</v>
      </c>
      <c r="F2108" s="2">
        <v>1</v>
      </c>
      <c r="H2108" s="2">
        <v>438</v>
      </c>
      <c r="I2108" s="2" t="inlineStr">
        <is>
          <t>$</t>
        </is>
      </c>
      <c r="J2108" s="2">
        <f>HYPERLINK("https://app.astro.lead-studio.pro/product/0e14d5e9-fd8c-4808-a35c-328e3044caa1")</f>
      </c>
    </row>
    <row r="2109" spans="1:10" customHeight="0">
      <c r="A2109" s="2" t="inlineStr">
        <is>
          <t>Коммутаторы (switch)</t>
        </is>
      </c>
      <c r="B2109" s="2" t="inlineStr">
        <is>
          <t>D-Link</t>
        </is>
      </c>
      <c r="C2109" s="2" t="inlineStr">
        <is>
          <t>DGS-1210-52MPP/E2A</t>
        </is>
      </c>
      <c r="D2109" s="2" t="inlineStr">
        <is>
          <t>Коммутатор D-Link DGS-1210-52MPP/E2A Настраиваемый L2 коммутатор с 48 портами 10/100/1000Base-T и 4 портами 1000Base-X SFP (порты 1-48 PoE 802.3af/at, PoE-бюджет 740 Вт)</t>
        </is>
      </c>
      <c r="E2109" s="2">
        <v>1</v>
      </c>
      <c r="F2109" s="2">
        <v>1</v>
      </c>
      <c r="H2109" s="2">
        <v>1031</v>
      </c>
      <c r="I2109" s="2" t="inlineStr">
        <is>
          <t>$</t>
        </is>
      </c>
      <c r="J2109" s="2">
        <f>HYPERLINK("https://app.astro.lead-studio.pro/product/6b012e4c-4822-4c02-b0e1-c3ac56e2bff7")</f>
      </c>
    </row>
    <row r="2110" spans="1:10" customHeight="0">
      <c r="A2110" s="2" t="inlineStr">
        <is>
          <t>Коммутаторы (switch)</t>
        </is>
      </c>
      <c r="B2110" s="2" t="inlineStr">
        <is>
          <t>D-Link</t>
        </is>
      </c>
      <c r="C2110" s="2" t="inlineStr">
        <is>
          <t>DGS-1210-52MPP/ME/B3A</t>
        </is>
      </c>
      <c r="D2110" s="2" t="inlineStr">
        <is>
          <t>Коммутатор D-Link DGS-1210-52MPP/ME/B3A Управляемый L2 коммутатор с 48 портами 10/100/1000Base-T и 4 портами 1000Base-X SFP (48 портов PoE 802.3af/at, PoE-бюджет 740 Вт) {2} (456251)</t>
        </is>
      </c>
      <c r="E2110" s="2">
        <v>1</v>
      </c>
      <c r="F2110" s="2">
        <v>1</v>
      </c>
      <c r="H2110" s="2">
        <v>1282</v>
      </c>
      <c r="I2110" s="2" t="inlineStr">
        <is>
          <t>$</t>
        </is>
      </c>
      <c r="J2110" s="2">
        <f>HYPERLINK("https://app.astro.lead-studio.pro/product/40975c84-db5d-42b7-a4e7-fdd26b1d2225")</f>
      </c>
    </row>
    <row r="2111" spans="1:10" customHeight="0">
      <c r="A2111" s="2" t="inlineStr">
        <is>
          <t>Коммутаторы (switch)</t>
        </is>
      </c>
      <c r="B2111" s="2" t="inlineStr">
        <is>
          <t>D-Link</t>
        </is>
      </c>
      <c r="C2111" s="2" t="inlineStr">
        <is>
          <t>DGS-1250-28XMP/A1A</t>
        </is>
      </c>
      <c r="D2111" s="2" t="inlineStr">
        <is>
          <t>Коммутатор D-Link DGS-1250-28XMP/A1A L2 Smart Switch with 24 10/100/1000Base-T ports and 4 10GBase-X SFP+ ports (24 PoE ports 802.3af/802.3at (30 W), PoE Budget 370W), {5} (443008)</t>
        </is>
      </c>
      <c r="E2111" s="2">
        <v>50</v>
      </c>
      <c r="F2111" s="2">
        <v>50</v>
      </c>
      <c r="H2111" s="2">
        <v>495</v>
      </c>
      <c r="I2111" s="2" t="inlineStr">
        <is>
          <t>$</t>
        </is>
      </c>
      <c r="J2111" s="2">
        <f>HYPERLINK("https://app.astro.lead-studio.pro/product/46a82d8c-8463-46ab-80e4-01884ecc1f44")</f>
      </c>
    </row>
    <row r="2112" spans="1:10" customHeight="0">
      <c r="A2112" s="2" t="inlineStr">
        <is>
          <t>Коммутаторы (switch)</t>
        </is>
      </c>
      <c r="B2112" s="2" t="inlineStr">
        <is>
          <t>D-Link</t>
        </is>
      </c>
      <c r="C2112" s="2" t="inlineStr">
        <is>
          <t>DGS-1250-52XMP/A1A</t>
        </is>
      </c>
      <c r="D2112" s="2" t="inlineStr">
        <is>
          <t>Коммутатор D-Link DGS-1250-52XMP/A1A L2 Smart Switch with 48 10/100/1000Base-T ports and 4 10GBase-X SFP+ ports (48 PoE ports 802.3af/802.3at (30 W), PoE Budget 370W), {5}, (443022)</t>
        </is>
      </c>
      <c r="E2112" s="2">
        <v>50</v>
      </c>
      <c r="F2112" s="2">
        <v>50</v>
      </c>
      <c r="H2112" s="2">
        <v>804</v>
      </c>
      <c r="I2112" s="2" t="inlineStr">
        <is>
          <t>$</t>
        </is>
      </c>
      <c r="J2112" s="2">
        <f>HYPERLINK("https://app.astro.lead-studio.pro/product/b13e432c-e73a-47ec-a619-1dc85f2dbb4e")</f>
      </c>
    </row>
    <row r="2113" spans="1:10" customHeight="0">
      <c r="A2113" s="2" t="inlineStr">
        <is>
          <t>Коммутаторы (switch)</t>
        </is>
      </c>
      <c r="B2113" s="2" t="inlineStr">
        <is>
          <t>D-Link</t>
        </is>
      </c>
      <c r="C2113" s="2" t="inlineStr">
        <is>
          <t>DGS-1510-28XMP/A1A</t>
        </is>
      </c>
      <c r="D2113" s="2" t="inlineStr">
        <is>
          <t>Коммутатор D-Link DGS-1510-28XMP/A1A Управляемый стекируемый коммутатор SmartPro с 24 портами 10/100/1000Base-T с поддержкой РоЕ и 4 портами 10G Base-X SFP+, {3} (413780) (DGS-1510-28XMP/A1A)</t>
        </is>
      </c>
      <c r="E2113" s="2">
        <v>29</v>
      </c>
      <c r="F2113" s="2">
        <v>29</v>
      </c>
      <c r="H2113" s="2">
        <v>873</v>
      </c>
      <c r="I2113" s="2" t="inlineStr">
        <is>
          <t>$</t>
        </is>
      </c>
      <c r="J2113" s="2">
        <f>HYPERLINK("https://app.astro.lead-studio.pro/product/e9e7cde8-0d88-46de-a7b5-d894d1ba746d")</f>
      </c>
    </row>
    <row r="2114" spans="1:10" customHeight="0">
      <c r="A2114" s="2" t="inlineStr">
        <is>
          <t>Коммутаторы (switch)</t>
        </is>
      </c>
      <c r="B2114" s="2" t="inlineStr">
        <is>
          <t>D-Link</t>
        </is>
      </c>
      <c r="C2114" s="2" t="inlineStr">
        <is>
          <t>DGS-1520-28/A1A</t>
        </is>
      </c>
      <c r="D2114" s="2" t="inlineStr">
        <is>
          <t>Коммутатор D-Link DGS-1520-28/A1A Управляемый L3 стекируемый коммутатор с 24 портами 10/100/1000Base-T, 2 портами 10GBase-T и 2 портами 10GBase-X SFP+ (454769)</t>
        </is>
      </c>
      <c r="E2114" s="2">
        <v>8</v>
      </c>
      <c r="F2114" s="2">
        <v>8</v>
      </c>
      <c r="H2114" s="2">
        <v>1265</v>
      </c>
      <c r="I2114" s="2" t="inlineStr">
        <is>
          <t>$</t>
        </is>
      </c>
      <c r="J2114" s="2">
        <f>HYPERLINK("https://app.astro.lead-studio.pro/product/fb7db19c-fa0e-4b72-92ac-38c29539cbbf")</f>
      </c>
    </row>
    <row r="2115" spans="1:10" customHeight="0">
      <c r="A2115" s="2" t="inlineStr">
        <is>
          <t>Коммутаторы (switch)</t>
        </is>
      </c>
      <c r="B2115" s="2" t="inlineStr">
        <is>
          <t>D-Link</t>
        </is>
      </c>
      <c r="C2115" s="2" t="inlineStr">
        <is>
          <t>DGS-1520-28MP/A1A</t>
        </is>
      </c>
      <c r="D2115" s="2" t="inlineStr">
        <is>
          <t>Коммутатор D-Link DGS-1520-28MP/A1A Управляемый L3 стекируемый коммутатор с 20 портами 10/100/1000Base-T, 4 портами «100/1000/2.5GBase-T, 2 портами 10GBase-T и 2 портами 10GBase-X SFP+ (24 порта PoE 802.3af/at, PoE-бюджет 370 Вт</t>
        </is>
      </c>
      <c r="E2115" s="2">
        <v>14</v>
      </c>
      <c r="F2115" s="2">
        <v>14</v>
      </c>
      <c r="H2115" s="2">
        <v>1010</v>
      </c>
      <c r="I2115" s="2" t="inlineStr">
        <is>
          <t>$</t>
        </is>
      </c>
      <c r="J2115" s="2">
        <f>HYPERLINK("https://app.astro.lead-studio.pro/product/ddcf7440-ba6f-45a9-bd41-3068ab301bc2")</f>
      </c>
    </row>
    <row r="2116" spans="1:10" customHeight="0">
      <c r="A2116" s="2" t="inlineStr">
        <is>
          <t>Коммутаторы (switch)</t>
        </is>
      </c>
      <c r="B2116" s="2" t="inlineStr">
        <is>
          <t>D-Link</t>
        </is>
      </c>
      <c r="C2116" s="2" t="inlineStr">
        <is>
          <t>DGS-1520-52/A1A</t>
        </is>
      </c>
      <c r="D2116" s="2" t="inlineStr">
        <is>
          <t>Коммутатор D-Link DGS-1520-52/A1A Управляемый L3 стекируемый коммутатор с 48 портами 10/100/1000Base-T, 2 портами 10GBase-T и 2 портами 10GBase-X SFP+ (454783) {5}</t>
        </is>
      </c>
      <c r="E2116" s="2">
        <v>8</v>
      </c>
      <c r="F2116" s="2">
        <v>8</v>
      </c>
      <c r="H2116" s="2">
        <v>1256</v>
      </c>
      <c r="I2116" s="2" t="inlineStr">
        <is>
          <t>$</t>
        </is>
      </c>
      <c r="J2116" s="2">
        <f>HYPERLINK("https://app.astro.lead-studio.pro/product/6d790e26-459d-4829-9ee5-f9e1a6aecbe2")</f>
      </c>
    </row>
    <row r="2117" spans="1:10" customHeight="0">
      <c r="A2117" s="2" t="inlineStr">
        <is>
          <t>Коммутаторы (switch)</t>
        </is>
      </c>
      <c r="B2117" s="2" t="inlineStr">
        <is>
          <t>D-Link</t>
        </is>
      </c>
      <c r="C2117" s="2" t="inlineStr">
        <is>
          <t>DGS-3000-28XS/B1A</t>
        </is>
      </c>
      <c r="D2117" s="2" t="inlineStr">
        <is>
          <t>Коммутатор D-Link DGS-3000-28XS/B1A Управляемый коммутатор 2 уровня с 24 портами 1000Base-X SFP и 4 портами 10GBase-X SFP+ (429613) {3}</t>
        </is>
      </c>
      <c r="E2117" s="2">
        <v>5</v>
      </c>
      <c r="F2117" s="2">
        <v>5</v>
      </c>
      <c r="H2117" s="2">
        <v>656</v>
      </c>
      <c r="I2117" s="2" t="inlineStr">
        <is>
          <t>$</t>
        </is>
      </c>
      <c r="J2117" s="2">
        <f>HYPERLINK("https://app.astro.lead-studio.pro/product/de509932-998a-413c-a51f-ad1212988478")</f>
      </c>
    </row>
    <row r="2118" spans="1:10" customHeight="0">
      <c r="A2118" s="2" t="inlineStr">
        <is>
          <t>Коммутаторы (switch)</t>
        </is>
      </c>
      <c r="B2118" s="2" t="inlineStr">
        <is>
          <t>D-Link</t>
        </is>
      </c>
      <c r="C2118" s="2" t="inlineStr">
        <is>
          <t>DGS-3130-30S/B1A</t>
        </is>
      </c>
      <c r="D2118" s="2" t="inlineStr">
        <is>
          <t>Коммутатор D-Link DGS-3130-30S/B1A Управляемый L3 стекируемый коммутатор с 24 портами 1000Base-X SFP, 2 портами 10GBase-T и 4 портами 10GBase-X SFP+</t>
        </is>
      </c>
      <c r="E2118" s="2">
        <v>1</v>
      </c>
      <c r="F2118" s="2">
        <v>1</v>
      </c>
      <c r="H2118" s="2">
        <v>1155</v>
      </c>
      <c r="I2118" s="2" t="inlineStr">
        <is>
          <t>$</t>
        </is>
      </c>
      <c r="J2118" s="2">
        <f>HYPERLINK("https://app.astro.lead-studio.pro/product/f26cc5d0-99b5-4941-8782-060b8abf9eba")</f>
      </c>
    </row>
    <row r="2119" spans="1:10" customHeight="0">
      <c r="A2119" s="2" t="inlineStr">
        <is>
          <t>Коммутаторы (switch)</t>
        </is>
      </c>
      <c r="B2119" s="2" t="inlineStr">
        <is>
          <t>D-Link</t>
        </is>
      </c>
      <c r="C2119" s="2" t="inlineStr">
        <is>
          <t>DGS-3130-54PS/B2A</t>
        </is>
      </c>
      <c r="D2119" s="2" t="inlineStr">
        <is>
          <t>Коммутатор D-Link DGS-3130-54PS/B2A Управляемый L3 стекируемый коммутатор с 48 портами 10/100/1000Base-T, 2 портами 10GBase-T и 4 портами 10GBase-X SFP+ (48 портов PoE 802.3af/at, PoE-бюджет 370 Вт; 740 Вт с DPS-700)</t>
        </is>
      </c>
      <c r="E2119" s="2">
        <v>10</v>
      </c>
      <c r="F2119" s="2">
        <v>10</v>
      </c>
      <c r="H2119" s="2">
        <v>2266</v>
      </c>
      <c r="I2119" s="2" t="inlineStr">
        <is>
          <t>$</t>
        </is>
      </c>
      <c r="J2119" s="2">
        <f>HYPERLINK("https://app.astro.lead-studio.pro/product/15ed34bf-d95f-4275-bcfb-f34ac800514f")</f>
      </c>
    </row>
    <row r="2120" spans="1:10" customHeight="0">
      <c r="A2120" s="2" t="inlineStr">
        <is>
          <t>Коммутаторы (switch)</t>
        </is>
      </c>
      <c r="B2120" s="2" t="inlineStr">
        <is>
          <t>D-Link</t>
        </is>
      </c>
      <c r="C2120" s="2" t="inlineStr">
        <is>
          <t>DGS-3630-28PC/A2ASI</t>
        </is>
      </c>
      <c r="D2120" s="2" t="inlineStr">
        <is>
          <t>Коммутатор D-Link DGS-3630-28PC/A2ASI Управляемый L3 стекируемый коммутатор с 20 портами 10/100/1000Base-T, 4 «комбо?портами 100/1000Base-T/SFP и 4 портами 10GBase-X SFP+ (24 порта PoE 802.3af/at, PoE?бюджет 370 Вт</t>
        </is>
      </c>
      <c r="E2120" s="2">
        <v>1</v>
      </c>
      <c r="F2120" s="2">
        <v>1</v>
      </c>
      <c r="H2120" s="2">
        <v>2635</v>
      </c>
      <c r="I2120" s="2" t="inlineStr">
        <is>
          <t>$</t>
        </is>
      </c>
      <c r="J2120" s="2">
        <f>HYPERLINK("https://app.astro.lead-studio.pro/product/41be4f0d-d8a8-4271-9484-b53e5e224b9a")</f>
      </c>
    </row>
    <row r="2121" spans="1:10" customHeight="0">
      <c r="A2121" s="2" t="inlineStr">
        <is>
          <t>Коммутаторы (switch)</t>
        </is>
      </c>
      <c r="B2121" s="2" t="inlineStr">
        <is>
          <t>CISCO</t>
        </is>
      </c>
      <c r="C2121" s="2" t="inlineStr">
        <is>
          <t>DS-C9132T-MEK9</t>
        </is>
      </c>
      <c r="D2121" s="2" t="inlineStr">
        <is>
          <t>Коммутатор CISCO MDS 9132T FC 32Gb Fibre Channel Switch, 8 port Active (Licensed) (up to 32-port), NO transceiver included, PS 650W (up to 2xPSU), 2x FAN Port Side Exhaust, 1U, analog BR-G610-8-32G / BR-G610-8-16G</t>
        </is>
      </c>
      <c r="E2121" s="2">
        <v>2</v>
      </c>
      <c r="F2121" s="2">
        <v>2</v>
      </c>
      <c r="H2121" s="2">
        <v>3835</v>
      </c>
      <c r="I2121" s="2" t="inlineStr">
        <is>
          <t>$</t>
        </is>
      </c>
      <c r="J2121" s="2">
        <f>HYPERLINK("https://app.astro.lead-studio.pro/product/6dbd1534-9b8e-41c2-b36f-45ca808e0cb6")</f>
      </c>
    </row>
    <row r="2122" spans="1:10" customHeight="0">
      <c r="A2122" s="2" t="inlineStr">
        <is>
          <t>Коммутаторы (switch)</t>
        </is>
      </c>
      <c r="B2122" s="2" t="inlineStr">
        <is>
          <t>D-Link</t>
        </is>
      </c>
      <c r="C2122" s="2" t="inlineStr">
        <is>
          <t>DXS-1210-28S/A1A</t>
        </is>
      </c>
      <c r="D2122" s="2" t="inlineStr">
        <is>
          <t>Коммутатор D-Link DXS-1210-28S/A1A Коммутатор Настраиваемый L2+ коммутатор с 24 портами 10GBase-X SFP+ и 4 портами 10GBase-T, RTL {5}</t>
        </is>
      </c>
      <c r="E2122" s="2">
        <v>4</v>
      </c>
      <c r="F2122" s="2">
        <v>4</v>
      </c>
      <c r="H2122" s="2">
        <v>1594</v>
      </c>
      <c r="I2122" s="2" t="inlineStr">
        <is>
          <t>$</t>
        </is>
      </c>
      <c r="J2122" s="2">
        <f>HYPERLINK("https://app.astro.lead-studio.pro/product/3b27a0d7-d1e4-4494-b56d-14c3a77deeb7")</f>
      </c>
    </row>
    <row r="2123" spans="1:10" customHeight="0">
      <c r="A2123" s="2" t="inlineStr">
        <is>
          <t>Коммутаторы (switch)</t>
        </is>
      </c>
      <c r="B2123" s="2" t="inlineStr">
        <is>
          <t>Edge-corE</t>
        </is>
      </c>
      <c r="C2123" s="2" t="inlineStr">
        <is>
          <t>ECS4620-28P</t>
        </is>
      </c>
      <c r="D2123" s="2" t="inlineStr">
        <is>
          <t>Коммутатор Edge-corE ECS4620-28P Edge-corE 24 x GE + 2 x 10G SFP+ ports + 1 x expansion slot (for dual 10G SFP+ ports) L3 Stackable Switch, w/ 1 x RJ45 console port, 1 x USB type A storage port, RPU connector, Stack up to 4 units,PoE Budget max. 410W</t>
        </is>
      </c>
      <c r="E2123" s="2">
        <v>1</v>
      </c>
      <c r="F2123" s="2">
        <v>1</v>
      </c>
      <c r="H2123" s="2">
        <v>1375</v>
      </c>
      <c r="I2123" s="2" t="inlineStr">
        <is>
          <t>$</t>
        </is>
      </c>
      <c r="J2123" s="2">
        <f>HYPERLINK("https://app.astro.lead-studio.pro/product/2228817d-cd8d-451c-ab15-b3f01e15d865")</f>
      </c>
    </row>
    <row r="2124" spans="1:10" customHeight="0">
      <c r="A2124" s="2" t="inlineStr">
        <is>
          <t>Коммутаторы (switch)</t>
        </is>
      </c>
      <c r="B2124" s="2" t="inlineStr">
        <is>
          <t>Edge-corE</t>
        </is>
      </c>
      <c r="C2124" s="2" t="inlineStr">
        <is>
          <t>ECS4620-28T</t>
        </is>
      </c>
      <c r="D2124" s="2" t="inlineStr">
        <is>
          <t>Коммутатор Edge-corE ECS4620-28T Edge-corE 24 x GE + 2 x 10G SFP+ ports + 1 x expansion slot (for dual 10G SFP+ ports) L3 Stackable Switch, w/ 1 x RJ45 console port, 1 x USB type A storage port, RPU connector, fan-less design, Stack up to 4 units</t>
        </is>
      </c>
      <c r="E2124" s="2">
        <v>1</v>
      </c>
      <c r="F2124" s="2">
        <v>1</v>
      </c>
      <c r="H2124" s="2">
        <v>1064</v>
      </c>
      <c r="I2124" s="2" t="inlineStr">
        <is>
          <t>$</t>
        </is>
      </c>
      <c r="J2124" s="2">
        <f>HYPERLINK("https://app.astro.lead-studio.pro/product/181357d4-3432-4f98-b2ff-899a20a5e859")</f>
      </c>
    </row>
    <row r="2125" spans="1:10" customHeight="0">
      <c r="A2125" s="2" t="inlineStr">
        <is>
          <t>Коммутаторы (switch)</t>
        </is>
      </c>
      <c r="B2125" s="2" t="inlineStr">
        <is>
          <t>Edge-corE</t>
        </is>
      </c>
      <c r="C2125" s="2" t="inlineStr">
        <is>
          <t>ECS4620-52P</t>
        </is>
      </c>
      <c r="D2125" s="2" t="inlineStr">
        <is>
          <t>Коммутатор Edge-corE 48 x GE + 2 x 10G SFP+ ports + 1 x expansion slot (for dual 10G SFP+ ports) L3 Stackable Switch, w/ 1 x RJ45 console port, 1 x USB type A storage port, RPU connector, Stack up to 4 units,PoE Budget max. 780W Edge-corE ECS4620-52P</t>
        </is>
      </c>
      <c r="E2125" s="2">
        <v>1</v>
      </c>
      <c r="F2125" s="2">
        <v>1</v>
      </c>
      <c r="H2125" s="2">
        <v>2115</v>
      </c>
      <c r="I2125" s="2" t="inlineStr">
        <is>
          <t>$</t>
        </is>
      </c>
      <c r="J2125" s="2">
        <f>HYPERLINK("https://app.astro.lead-studio.pro/product/269c280c-1b84-4d4b-b2e1-129581fe96d5")</f>
      </c>
    </row>
    <row r="2126" spans="1:10" customHeight="0">
      <c r="A2126" s="2" t="inlineStr">
        <is>
          <t>Коммутаторы (switch)</t>
        </is>
      </c>
      <c r="B2126" s="2" t="inlineStr">
        <is>
          <t>Edge-corE</t>
        </is>
      </c>
      <c r="C2126" s="2" t="inlineStr">
        <is>
          <t>ECS4620-52T</t>
        </is>
      </c>
      <c r="D2126" s="2" t="inlineStr">
        <is>
          <t>Коммутатор Edge-corE 48 x GE + 2 x 10G SFP+ ports + 1 x expansion slot (for dual 10G SFP+ ports) L3 Stackable Switch, w/ 1 x RJ45 console port, 1 x USB type A storage port, RPU connector, Stack up to 4 units Edge-corE ECS4620-52T</t>
        </is>
      </c>
      <c r="E2126" s="2">
        <v>1</v>
      </c>
      <c r="F2126" s="2">
        <v>1</v>
      </c>
      <c r="H2126" s="2">
        <v>1383</v>
      </c>
      <c r="I2126" s="2" t="inlineStr">
        <is>
          <t>$</t>
        </is>
      </c>
      <c r="J2126" s="2">
        <f>HYPERLINK("https://app.astro.lead-studio.pro/product/e52ec9b3-5dbb-4bd4-bc70-05dd596de078")</f>
      </c>
    </row>
    <row r="2127" spans="1:10" customHeight="0">
      <c r="A2127" s="2" t="inlineStr">
        <is>
          <t>Коммутаторы (switch)</t>
        </is>
      </c>
      <c r="B2127" s="2" t="inlineStr">
        <is>
          <t>Edge-corE</t>
        </is>
      </c>
      <c r="C2127" s="2" t="inlineStr">
        <is>
          <t>ECS5520-18X</t>
        </is>
      </c>
      <c r="D2127" s="2" t="inlineStr">
        <is>
          <t>Коммутатор Edge-corE ECS5520-18X Edge-corE 16 x 10G SFP+ + 2 40G QSFP+ ports, 1 AC power supply, 1 optional slot for power redundancy</t>
        </is>
      </c>
      <c r="E2127" s="2">
        <v>1</v>
      </c>
      <c r="F2127" s="2">
        <v>1</v>
      </c>
      <c r="H2127" s="2">
        <v>4896</v>
      </c>
      <c r="I2127" s="2" t="inlineStr">
        <is>
          <t>$</t>
        </is>
      </c>
      <c r="J2127" s="2">
        <f>HYPERLINK("https://app.astro.lead-studio.pro/product/882f1809-8161-4eac-ab69-db035be6d8ba")</f>
      </c>
    </row>
    <row r="2128" spans="1:10" customHeight="0">
      <c r="A2128" s="2" t="inlineStr">
        <is>
          <t>Коммутаторы (switch)</t>
        </is>
      </c>
      <c r="B2128" s="2" t="inlineStr">
        <is>
          <t>Ubiquiti</t>
        </is>
      </c>
      <c r="C2128" s="2" t="inlineStr">
        <is>
          <t>ES-24-250W</t>
        </is>
      </c>
      <c r="D2128" s="2" t="inlineStr">
        <is>
          <t>Коммутатор Ubiquiti EdgeSwitch 24-250W |ES-24-250W| Ubiquiti коммутатор 24 порта, раздача питания 24/48В на всех |ES-24-250W| портах, суммарная мощность 250W (728565) (022241)</t>
        </is>
      </c>
      <c r="E2128" s="2">
        <v>10</v>
      </c>
      <c r="F2128" s="2">
        <v>10</v>
      </c>
      <c r="H2128" s="2">
        <v>707</v>
      </c>
      <c r="I2128" s="2" t="inlineStr">
        <is>
          <t>$</t>
        </is>
      </c>
      <c r="J2128" s="2">
        <f>HYPERLINK("https://app.astro.lead-studio.pro/product/94d98946-872c-42a5-a340-b53c600feb4a")</f>
      </c>
    </row>
    <row r="2129" spans="1:10" customHeight="0">
      <c r="A2129" s="2" t="inlineStr">
        <is>
          <t>Коммутаторы (switch)</t>
        </is>
      </c>
      <c r="B2129" s="2" t="inlineStr">
        <is>
          <t>Ubiquiti</t>
        </is>
      </c>
      <c r="C2129" s="2" t="inlineStr">
        <is>
          <t>ES-48-500W</t>
        </is>
      </c>
      <c r="D2129" s="2" t="inlineStr">
        <is>
          <t>Коммутатор Ubiquiti EdgeSwitch 48-500W |ES-48-500W| Ubiquiti коммутатор 48 портов, раздача питания на 24/48В на всех |ES-48-500W| портах, суммарная мощность 500Вт</t>
        </is>
      </c>
      <c r="E2129" s="2">
        <v>6</v>
      </c>
      <c r="F2129" s="2">
        <v>6</v>
      </c>
      <c r="H2129" s="2">
        <v>1597</v>
      </c>
      <c r="I2129" s="2" t="inlineStr">
        <is>
          <t>$</t>
        </is>
      </c>
      <c r="J2129" s="2">
        <f>HYPERLINK("https://app.astro.lead-studio.pro/product/fd07ee56-fe55-4df7-a247-7ca54a929f20")</f>
      </c>
    </row>
    <row r="2130" spans="1:10" customHeight="0">
      <c r="A2130" s="2" t="inlineStr">
        <is>
          <t>Коммутаторы (switch)</t>
        </is>
      </c>
      <c r="B2130" s="2" t="inlineStr">
        <is>
          <t>HPE</t>
        </is>
      </c>
      <c r="C2130" s="2" t="inlineStr">
        <is>
          <t>JL253A</t>
        </is>
      </c>
      <c r="D2130" s="2" t="inlineStr">
        <is>
          <t>Коммутатор HPE JL253A HPE Aruba 2930F Managed L3 Lite 24G 4SFP+ Switch</t>
        </is>
      </c>
      <c r="E2130" s="2">
        <v>1</v>
      </c>
      <c r="F2130" s="2">
        <v>1</v>
      </c>
      <c r="H2130" s="2">
        <v>1488</v>
      </c>
      <c r="I2130" s="2" t="inlineStr">
        <is>
          <t>$</t>
        </is>
      </c>
      <c r="J2130" s="2">
        <f>HYPERLINK("https://app.astro.lead-studio.pro/product/3cad0b9b-cb6d-45f8-bfc2-c41e8cb5510c")</f>
      </c>
    </row>
    <row r="2131" spans="1:10" customHeight="0">
      <c r="A2131" s="2" t="inlineStr">
        <is>
          <t>Коммутаторы (switch)</t>
        </is>
      </c>
      <c r="B2131" s="2" t="inlineStr">
        <is>
          <t>HPE</t>
        </is>
      </c>
      <c r="C2131" s="2" t="inlineStr">
        <is>
          <t>JL254A</t>
        </is>
      </c>
      <c r="D2131" s="2" t="inlineStr">
        <is>
          <t>Коммутатор HPE JL254A HPE Aruba 2930F Managed L3 Lite 48G 4SFP+ Switch</t>
        </is>
      </c>
      <c r="E2131" s="2">
        <v>2</v>
      </c>
      <c r="F2131" s="2">
        <v>2</v>
      </c>
      <c r="H2131" s="2">
        <v>1952</v>
      </c>
      <c r="I2131" s="2" t="inlineStr">
        <is>
          <t>$</t>
        </is>
      </c>
      <c r="J2131" s="2">
        <f>HYPERLINK("https://app.astro.lead-studio.pro/product/b9524ec3-a2ea-49c2-9222-dcaba29d9d1b")</f>
      </c>
    </row>
    <row r="2132" spans="1:10" customHeight="0">
      <c r="A2132" s="2" t="inlineStr">
        <is>
          <t>Коммутаторы (switch)</t>
        </is>
      </c>
      <c r="B2132" s="2" t="inlineStr">
        <is>
          <t>HPE</t>
        </is>
      </c>
      <c r="C2132" s="2" t="inlineStr">
        <is>
          <t>JL255A</t>
        </is>
      </c>
      <c r="D2132" s="2" t="inlineStr">
        <is>
          <t>Коммутатор HPE JL255A HPE Aruba 2930F Managed L3 Lite 24G PoE+ 370W 4SFP+ Switch</t>
        </is>
      </c>
      <c r="E2132" s="2">
        <v>1</v>
      </c>
      <c r="F2132" s="2">
        <v>1</v>
      </c>
      <c r="H2132" s="2">
        <v>1870</v>
      </c>
      <c r="I2132" s="2" t="inlineStr">
        <is>
          <t>$</t>
        </is>
      </c>
      <c r="J2132" s="2">
        <f>HYPERLINK("https://app.astro.lead-studio.pro/product/b52438d2-89f1-4254-b7f6-de1c732575b4")</f>
      </c>
    </row>
    <row r="2133" spans="1:10" customHeight="0">
      <c r="A2133" s="2" t="inlineStr">
        <is>
          <t>Коммутаторы (switch)</t>
        </is>
      </c>
      <c r="B2133" s="2" t="inlineStr">
        <is>
          <t>HPE</t>
        </is>
      </c>
      <c r="C2133" s="2" t="inlineStr">
        <is>
          <t>JL255A||bp</t>
        </is>
      </c>
      <c r="D2133" s="2" t="inlineStr">
        <is>
          <t>Коммутатор HPE JL255A HPE Aruba 2930F Managed L3 Lite 24G PoE+ 370W 4SFP+ Switch</t>
        </is>
      </c>
      <c r="E2133" s="2">
        <v>1</v>
      </c>
      <c r="F2133" s="2">
        <v>1</v>
      </c>
      <c r="H2133" s="2">
        <v>1759</v>
      </c>
      <c r="I2133" s="2" t="inlineStr">
        <is>
          <t>$</t>
        </is>
      </c>
      <c r="J2133" s="2">
        <f>HYPERLINK("https://app.astro.lead-studio.pro/product/ffa32dbe-914b-42e8-a2cf-1f533761367a")</f>
      </c>
    </row>
    <row r="2134" spans="1:10" customHeight="0">
      <c r="A2134" s="2" t="inlineStr">
        <is>
          <t>Коммутаторы (switch)</t>
        </is>
      </c>
      <c r="B2134" s="2" t="inlineStr">
        <is>
          <t>HPE</t>
        </is>
      </c>
      <c r="C2134" s="2" t="inlineStr">
        <is>
          <t>JL256A</t>
        </is>
      </c>
      <c r="D2134" s="2" t="inlineStr">
        <is>
          <t>Коммутатор HPE JL256A HPE Aruba 2930F Managed L3 Lite 48G PoE+ 370W 4SFP+ Switch</t>
        </is>
      </c>
      <c r="E2134" s="2">
        <v>3</v>
      </c>
      <c r="F2134" s="2">
        <v>3</v>
      </c>
      <c r="H2134" s="2">
        <v>2301</v>
      </c>
      <c r="I2134" s="2" t="inlineStr">
        <is>
          <t>$</t>
        </is>
      </c>
      <c r="J2134" s="2">
        <f>HYPERLINK("https://app.astro.lead-studio.pro/product/922f3a7f-bae2-44a1-85e3-f4ca73831bb9")</f>
      </c>
    </row>
    <row r="2135" spans="1:10" customHeight="0">
      <c r="A2135" s="2" t="inlineStr">
        <is>
          <t>Коммутаторы (switch)</t>
        </is>
      </c>
      <c r="B2135" s="2" t="inlineStr">
        <is>
          <t>HPE</t>
        </is>
      </c>
      <c r="C2135" s="2" t="inlineStr">
        <is>
          <t>JL261A</t>
        </is>
      </c>
      <c r="D2135" s="2" t="inlineStr">
        <is>
          <t>Коммутатор HPE JL261A HPE Aruba 2930F Managed L3 Lite 24G PoE+ 370W 4SFP Switch</t>
        </is>
      </c>
      <c r="E2135" s="2">
        <v>1</v>
      </c>
      <c r="F2135" s="2">
        <v>1</v>
      </c>
      <c r="H2135" s="2">
        <v>1737</v>
      </c>
      <c r="I2135" s="2" t="inlineStr">
        <is>
          <t>$</t>
        </is>
      </c>
      <c r="J2135" s="2">
        <f>HYPERLINK("https://app.astro.lead-studio.pro/product/c89d1104-5660-44e7-8857-119162aaaa03")</f>
      </c>
    </row>
    <row r="2136" spans="1:10" customHeight="0">
      <c r="A2136" s="2" t="inlineStr">
        <is>
          <t>Коммутаторы (switch)</t>
        </is>
      </c>
      <c r="B2136" s="2" t="inlineStr">
        <is>
          <t>HPE</t>
        </is>
      </c>
      <c r="C2136" s="2" t="inlineStr">
        <is>
          <t>JL322A</t>
        </is>
      </c>
      <c r="D2136" s="2" t="inlineStr">
        <is>
          <t>Коммутатор HPE JL322A Aruba 2930M 48G PoE+ with 1-slot Switch Managed L3 Switch</t>
        </is>
      </c>
      <c r="E2136" s="2">
        <v>2</v>
      </c>
      <c r="F2136" s="2">
        <v>2</v>
      </c>
      <c r="H2136" s="2">
        <v>2860</v>
      </c>
      <c r="I2136" s="2" t="inlineStr">
        <is>
          <t>$</t>
        </is>
      </c>
      <c r="J2136" s="2">
        <f>HYPERLINK("https://app.astro.lead-studio.pro/product/9aae722c-23cd-4f26-aec3-4d3e6674a318")</f>
      </c>
    </row>
    <row r="2137" spans="1:10" customHeight="0">
      <c r="A2137" s="2" t="inlineStr">
        <is>
          <t>Коммутаторы (switch)</t>
        </is>
      </c>
      <c r="B2137" s="2" t="inlineStr">
        <is>
          <t>HPE</t>
        </is>
      </c>
      <c r="C2137" s="2" t="inlineStr">
        <is>
          <t>JL675A</t>
        </is>
      </c>
      <c r="D2137" s="2" t="inlineStr">
        <is>
          <t>Коммутатор JL675A HPE Aruba 6100 Managed 48G Class4 PoE 370W 4SFP+ Switch</t>
        </is>
      </c>
      <c r="E2137" s="2">
        <v>4</v>
      </c>
      <c r="F2137" s="2">
        <v>4</v>
      </c>
      <c r="H2137" s="2">
        <v>2160</v>
      </c>
      <c r="I2137" s="2" t="inlineStr">
        <is>
          <t>$</t>
        </is>
      </c>
      <c r="J2137" s="2">
        <f>HYPERLINK("https://app.astro.lead-studio.pro/product/9d88ff62-9385-43bc-8821-5f687461f5c0")</f>
      </c>
    </row>
    <row r="2138" spans="1:10" customHeight="0">
      <c r="A2138" s="2" t="inlineStr">
        <is>
          <t>Коммутаторы (switch)</t>
        </is>
      </c>
      <c r="B2138" s="2" t="inlineStr">
        <is>
          <t>HPE</t>
        </is>
      </c>
      <c r="C2138" s="2" t="inlineStr">
        <is>
          <t>JL676A</t>
        </is>
      </c>
      <c r="D2138" s="2" t="inlineStr">
        <is>
          <t>Коммутатор JL676A HPE Aruba 6100 Managed 48G 4SFP+ Switch</t>
        </is>
      </c>
      <c r="E2138" s="2">
        <v>5</v>
      </c>
      <c r="F2138" s="2">
        <v>5</v>
      </c>
      <c r="H2138" s="2">
        <v>1547</v>
      </c>
      <c r="I2138" s="2" t="inlineStr">
        <is>
          <t>$</t>
        </is>
      </c>
      <c r="J2138" s="2">
        <f>HYPERLINK("https://app.astro.lead-studio.pro/product/3f3e6ce9-c966-4ae9-8f1d-ef8cf45cf8b8")</f>
      </c>
    </row>
    <row r="2139" spans="1:10" customHeight="0">
      <c r="A2139" s="2" t="inlineStr">
        <is>
          <t>Коммутаторы (switch)</t>
        </is>
      </c>
      <c r="B2139" s="2" t="inlineStr">
        <is>
          <t>HPE</t>
        </is>
      </c>
      <c r="C2139" s="2" t="inlineStr">
        <is>
          <t>JL677A</t>
        </is>
      </c>
      <c r="D2139" s="2" t="inlineStr">
        <is>
          <t>Коммутатор JL677A HPE Aruba 6100 Managed 24G Class4 PoE 370W 4SFP+ Switch</t>
        </is>
      </c>
      <c r="E2139" s="2">
        <v>3</v>
      </c>
      <c r="F2139" s="2">
        <v>3</v>
      </c>
      <c r="H2139" s="2">
        <v>1722</v>
      </c>
      <c r="I2139" s="2" t="inlineStr">
        <is>
          <t>$</t>
        </is>
      </c>
      <c r="J2139" s="2">
        <f>HYPERLINK("https://app.astro.lead-studio.pro/product/0429f50e-f00f-4703-95c7-bcbf0a1f0891")</f>
      </c>
    </row>
    <row r="2140" spans="1:10" customHeight="0">
      <c r="A2140" s="2" t="inlineStr">
        <is>
          <t>Коммутаторы (switch)</t>
        </is>
      </c>
      <c r="B2140" s="2" t="inlineStr">
        <is>
          <t>HPE</t>
        </is>
      </c>
      <c r="C2140" s="2" t="inlineStr">
        <is>
          <t>JL682A</t>
        </is>
      </c>
      <c r="D2140" s="2" t="inlineStr">
        <is>
          <t>Коммутатор HPE JL682A HPE Aruba Instant On 1930  24G 4SFP+ Switch</t>
        </is>
      </c>
      <c r="E2140" s="2">
        <v>10</v>
      </c>
      <c r="F2140" s="2">
        <v>10</v>
      </c>
      <c r="H2140" s="2">
        <v>391</v>
      </c>
      <c r="I2140" s="2" t="inlineStr">
        <is>
          <t>$</t>
        </is>
      </c>
      <c r="J2140" s="2">
        <f>HYPERLINK("https://app.astro.lead-studio.pro/product/4c2a2e8e-2b94-4cef-bd54-207a0199ac0d")</f>
      </c>
    </row>
    <row r="2141" spans="1:10" customHeight="0">
      <c r="A2141" s="2" t="inlineStr">
        <is>
          <t>Коммутаторы (switch)</t>
        </is>
      </c>
      <c r="B2141" s="2" t="inlineStr">
        <is>
          <t>HPE</t>
        </is>
      </c>
      <c r="C2141" s="2" t="inlineStr">
        <is>
          <t>JL682A||bp</t>
        </is>
      </c>
      <c r="D2141" s="2" t="inlineStr">
        <is>
          <t>Коммутатор HPE JL682A HPE Aruba Instant On 1930  24G 4SFP+ Switch</t>
        </is>
      </c>
      <c r="E2141" s="2">
        <v>2</v>
      </c>
      <c r="F2141" s="2">
        <v>2</v>
      </c>
      <c r="H2141" s="2">
        <v>364</v>
      </c>
      <c r="I2141" s="2" t="inlineStr">
        <is>
          <t>$</t>
        </is>
      </c>
      <c r="J2141" s="2">
        <f>HYPERLINK("https://app.astro.lead-studio.pro/product/5950302f-28c0-4a5e-88ca-96ca4fff74ad")</f>
      </c>
    </row>
    <row r="2142" spans="1:10" customHeight="0">
      <c r="A2142" s="2" t="inlineStr">
        <is>
          <t>Коммутаторы (switch)</t>
        </is>
      </c>
      <c r="B2142" s="2" t="inlineStr">
        <is>
          <t>HPE</t>
        </is>
      </c>
      <c r="C2142" s="2" t="inlineStr">
        <is>
          <t>JL683B</t>
        </is>
      </c>
      <c r="D2142" s="2" t="inlineStr">
        <is>
          <t>Коммутатор HPE Instant On 1930 24G PoE Switch Class4 PoE 4SFP/SFP+ 195W Switch</t>
        </is>
      </c>
      <c r="E2142" s="2">
        <v>20</v>
      </c>
      <c r="F2142" s="2">
        <v>20</v>
      </c>
      <c r="H2142" s="2">
        <v>504</v>
      </c>
      <c r="I2142" s="2" t="inlineStr">
        <is>
          <t>$</t>
        </is>
      </c>
      <c r="J2142" s="2">
        <f>HYPERLINK("https://app.astro.lead-studio.pro/product/2513be8e-f601-466f-bd5c-56f4c199aa66")</f>
      </c>
    </row>
    <row r="2143" spans="1:10" customHeight="0">
      <c r="A2143" s="2" t="inlineStr">
        <is>
          <t>Коммутаторы (switch)</t>
        </is>
      </c>
      <c r="B2143" s="2" t="inlineStr">
        <is>
          <t>HPE</t>
        </is>
      </c>
      <c r="C2143" s="2" t="inlineStr">
        <is>
          <t>JL683B||bp</t>
        </is>
      </c>
      <c r="D2143" s="2" t="inlineStr">
        <is>
          <t>Коммутатор HPE Bad Pack Instant On 1930 24G PoE Switch Class4 PoE 4SFP/SFP+ 195W Switch bp</t>
        </is>
      </c>
      <c r="E2143" s="2">
        <v>1</v>
      </c>
      <c r="F2143" s="2">
        <v>1</v>
      </c>
      <c r="H2143" s="2">
        <v>491</v>
      </c>
      <c r="I2143" s="2" t="inlineStr">
        <is>
          <t>$</t>
        </is>
      </c>
      <c r="J2143" s="2">
        <f>HYPERLINK("https://app.astro.lead-studio.pro/product/c3c86890-34ae-4e79-851b-4e9b454f735e")</f>
      </c>
    </row>
    <row r="2144" spans="1:10" customHeight="0">
      <c r="A2144" s="2" t="inlineStr">
        <is>
          <t>Коммутаторы (switch)</t>
        </is>
      </c>
      <c r="B2144" s="2" t="inlineStr">
        <is>
          <t>HPE</t>
        </is>
      </c>
      <c r="C2144" s="2" t="inlineStr">
        <is>
          <t>JL684A</t>
        </is>
      </c>
      <c r="D2144" s="2" t="inlineStr">
        <is>
          <t>Коммутатор HPE JL684A HPE Aruba Instant On 1930 24G Class4 PoE 4SFP/SFP+ 370W Switch</t>
        </is>
      </c>
      <c r="E2144" s="2">
        <v>2</v>
      </c>
      <c r="F2144" s="2">
        <v>2</v>
      </c>
      <c r="H2144" s="2">
        <v>824</v>
      </c>
      <c r="I2144" s="2" t="inlineStr">
        <is>
          <t>$</t>
        </is>
      </c>
      <c r="J2144" s="2">
        <f>HYPERLINK("https://app.astro.lead-studio.pro/product/bf97ad78-ba4a-4631-8dc9-c2b72624f6cc")</f>
      </c>
    </row>
    <row r="2145" spans="1:10" customHeight="0">
      <c r="A2145" s="2" t="inlineStr">
        <is>
          <t>Коммутаторы (switch)</t>
        </is>
      </c>
      <c r="B2145" s="2" t="inlineStr">
        <is>
          <t>HPE</t>
        </is>
      </c>
      <c r="C2145" s="2" t="inlineStr">
        <is>
          <t>JL684B</t>
        </is>
      </c>
      <c r="D2145" s="2" t="inlineStr">
        <is>
          <t>Коммутатор HPE Aruba Instant On 1930 24G Class4 PoE 4SFP/SFP+ 370W </t>
        </is>
      </c>
      <c r="E2145" s="2">
        <v>9</v>
      </c>
      <c r="F2145" s="2">
        <v>9</v>
      </c>
      <c r="H2145" s="2">
        <v>832</v>
      </c>
      <c r="I2145" s="2" t="inlineStr">
        <is>
          <t>$</t>
        </is>
      </c>
      <c r="J2145" s="2">
        <f>HYPERLINK("https://app.astro.lead-studio.pro/product/42ba9e5e-c61e-4dea-aaef-55c207bbef01")</f>
      </c>
    </row>
    <row r="2146" spans="1:10" customHeight="0">
      <c r="A2146" s="2" t="inlineStr">
        <is>
          <t>Коммутаторы (switch)</t>
        </is>
      </c>
      <c r="B2146" s="2" t="inlineStr">
        <is>
          <t>HPE</t>
        </is>
      </c>
      <c r="C2146" s="2" t="inlineStr">
        <is>
          <t>JL686B</t>
        </is>
      </c>
      <c r="D2146" s="2" t="inlineStr">
        <is>
          <t>Коммутатор HPE Aruba Instant On 1930 48G Class4 PoE 4SFP/SFP+ 370W </t>
        </is>
      </c>
      <c r="E2146" s="2">
        <v>8</v>
      </c>
      <c r="F2146" s="2">
        <v>8</v>
      </c>
      <c r="H2146" s="2">
        <v>1019</v>
      </c>
      <c r="I2146" s="2" t="inlineStr">
        <is>
          <t>$</t>
        </is>
      </c>
      <c r="J2146" s="2">
        <f>HYPERLINK("https://app.astro.lead-studio.pro/product/50da9337-90c7-4b4b-8c24-6f148a99fe1f")</f>
      </c>
    </row>
    <row r="2147" spans="1:10" customHeight="0">
      <c r="A2147" s="2" t="inlineStr">
        <is>
          <t>Коммутаторы (switch)</t>
        </is>
      </c>
      <c r="B2147" s="2" t="inlineStr">
        <is>
          <t>HPE</t>
        </is>
      </c>
      <c r="C2147" s="2" t="inlineStr">
        <is>
          <t>JL805A</t>
        </is>
      </c>
      <c r="D2147" s="2" t="inlineStr">
        <is>
          <t>Коммутатор HPE JL805A HPE Aruba IOn 1960 12XT 4XF Managed L2+ 12*10GBase-T 4SFP+ Switch</t>
        </is>
      </c>
      <c r="E2147" s="2">
        <v>3</v>
      </c>
      <c r="F2147" s="2">
        <v>3</v>
      </c>
      <c r="H2147" s="2">
        <v>1443</v>
      </c>
      <c r="I2147" s="2" t="inlineStr">
        <is>
          <t>$</t>
        </is>
      </c>
      <c r="J2147" s="2">
        <f>HYPERLINK("https://app.astro.lead-studio.pro/product/182a9dfd-408e-4c11-9115-a8b3dc81fc28")</f>
      </c>
    </row>
    <row r="2148" spans="1:10" customHeight="0">
      <c r="A2148" s="2" t="inlineStr">
        <is>
          <t>Коммутаторы (switch)</t>
        </is>
      </c>
      <c r="B2148" s="2" t="inlineStr">
        <is>
          <t>HPE</t>
        </is>
      </c>
      <c r="C2148" s="2" t="inlineStr">
        <is>
          <t>JL807A</t>
        </is>
      </c>
      <c r="D2148" s="2" t="inlineStr">
        <is>
          <t>Коммутатор HPE JL807A HPE Aruba IOn 1960 24G 2XT 2XF 370W Managed L2+ 24*10/100/1000 2*10GBase-T 2SFP+ Switch</t>
        </is>
      </c>
      <c r="E2148" s="2">
        <v>3</v>
      </c>
      <c r="F2148" s="2">
        <v>3</v>
      </c>
      <c r="H2148" s="2">
        <v>1052</v>
      </c>
      <c r="I2148" s="2" t="inlineStr">
        <is>
          <t>$</t>
        </is>
      </c>
      <c r="J2148" s="2">
        <f>HYPERLINK("https://app.astro.lead-studio.pro/product/c0e51de4-6e6a-49f7-94b1-36ba23447ca3")</f>
      </c>
    </row>
    <row r="2149" spans="1:10" customHeight="0">
      <c r="A2149" s="2" t="inlineStr">
        <is>
          <t>Коммутаторы (switch)</t>
        </is>
      </c>
      <c r="B2149" s="2" t="inlineStr">
        <is>
          <t>HPE</t>
        </is>
      </c>
      <c r="C2149" s="2" t="inlineStr">
        <is>
          <t>JL808A</t>
        </is>
      </c>
      <c r="D2149" s="2" t="inlineStr">
        <is>
          <t>Коммутатор HPE JL808A HPE Aruba IOn 1960 48G 2XT 2XF Managed L2+ 48*10/100/1000 2*10GBase-T 2SFP+ Switch</t>
        </is>
      </c>
      <c r="E2149" s="2">
        <v>4</v>
      </c>
      <c r="F2149" s="2">
        <v>4</v>
      </c>
      <c r="H2149" s="2">
        <v>1028</v>
      </c>
      <c r="I2149" s="2" t="inlineStr">
        <is>
          <t>$</t>
        </is>
      </c>
      <c r="J2149" s="2">
        <f>HYPERLINK("https://app.astro.lead-studio.pro/product/ced9efa7-ca37-4810-8923-e4c26de42580")</f>
      </c>
    </row>
    <row r="2150" spans="1:10" customHeight="0">
      <c r="A2150" s="2" t="inlineStr">
        <is>
          <t>Коммутаторы (switch)</t>
        </is>
      </c>
      <c r="B2150" s="2" t="inlineStr">
        <is>
          <t>HPE</t>
        </is>
      </c>
      <c r="C2150" s="2" t="inlineStr">
        <is>
          <t>JL813A</t>
        </is>
      </c>
      <c r="D2150" s="2" t="inlineStr">
        <is>
          <t>Коммутатор HPE JL813A HPE Aruba Instant On 1830 24G Web-managed 12p Class4 PoE 195W 2SFP Switch</t>
        </is>
      </c>
      <c r="E2150" s="2">
        <v>2</v>
      </c>
      <c r="F2150" s="2">
        <v>2</v>
      </c>
      <c r="H2150" s="2">
        <v>484</v>
      </c>
      <c r="I2150" s="2" t="inlineStr">
        <is>
          <t>$</t>
        </is>
      </c>
      <c r="J2150" s="2">
        <f>HYPERLINK("https://app.astro.lead-studio.pro/product/d5c27799-6fb8-4590-a921-ca47f5be0477")</f>
      </c>
    </row>
    <row r="2151" spans="1:10" customHeight="0">
      <c r="A2151" s="2" t="inlineStr">
        <is>
          <t>Коммутаторы (switch)</t>
        </is>
      </c>
      <c r="B2151" s="2" t="inlineStr">
        <is>
          <t>HPE</t>
        </is>
      </c>
      <c r="C2151" s="2" t="inlineStr">
        <is>
          <t>JL815A</t>
        </is>
      </c>
      <c r="D2151" s="2" t="inlineStr">
        <is>
          <t>Коммутатор HPE JL815A HPE Aruba Instant On 1830 48G 24p Class4 PoE 370W 4SFP Switch</t>
        </is>
      </c>
      <c r="E2151" s="2">
        <v>15</v>
      </c>
      <c r="F2151" s="2">
        <v>15</v>
      </c>
      <c r="H2151" s="2">
        <v>800</v>
      </c>
      <c r="I2151" s="2" t="inlineStr">
        <is>
          <t>$</t>
        </is>
      </c>
      <c r="J2151" s="2">
        <f>HYPERLINK("https://app.astro.lead-studio.pro/product/c81b2eb0-025e-48f5-8641-d9b351c18daf")</f>
      </c>
    </row>
    <row r="2152" spans="1:10" customHeight="0">
      <c r="A2152" s="2" t="inlineStr">
        <is>
          <t>Коммутаторы (switch)</t>
        </is>
      </c>
      <c r="B2152" s="2" t="inlineStr">
        <is>
          <t>H3C</t>
        </is>
      </c>
      <c r="C2152" s="2" t="inlineStr">
        <is>
          <t>LS-5130S-28S-EI</t>
        </is>
      </c>
      <c r="D2152" s="2" t="inlineStr">
        <is>
          <t>H3C Коммутатор S5130S-28S-EI Switch L2 24*10/100/1000BASE-T + 4*SFP+ ports AC  </t>
        </is>
      </c>
      <c r="E2152" s="2">
        <v>1</v>
      </c>
      <c r="F2152" s="2">
        <v>1</v>
      </c>
      <c r="H2152" s="2">
        <v>627</v>
      </c>
      <c r="I2152" s="2" t="inlineStr">
        <is>
          <t>$</t>
        </is>
      </c>
      <c r="J2152" s="2">
        <f>HYPERLINK("https://app.astro.lead-studio.pro/product/533828bd-07a0-465b-8194-b55acbc918b4")</f>
      </c>
    </row>
    <row r="2153" spans="1:10" customHeight="0">
      <c r="A2153" s="2" t="inlineStr">
        <is>
          <t>Коммутаторы (switch)</t>
        </is>
      </c>
      <c r="B2153" s="2" t="inlineStr">
        <is>
          <t>H3C</t>
        </is>
      </c>
      <c r="C2153" s="2" t="inlineStr">
        <is>
          <t>LS-5130S-28S-EI||bp</t>
        </is>
      </c>
      <c r="D2153" s="2" t="inlineStr">
        <is>
          <t>H3C Коммутатор S5130S-28S-EI Switch L2 24*10/100/1000BASE-T + 4*SFP+ ports AC
 </t>
        </is>
      </c>
      <c r="E2153" s="2">
        <v>1</v>
      </c>
      <c r="F2153" s="2">
        <v>1</v>
      </c>
      <c r="H2153" s="2">
        <v>581</v>
      </c>
      <c r="I2153" s="2" t="inlineStr">
        <is>
          <t>$</t>
        </is>
      </c>
      <c r="J2153" s="2">
        <f>HYPERLINK("https://app.astro.lead-studio.pro/product/61d14855-d664-486f-9d84-2c7f40ca5849")</f>
      </c>
    </row>
    <row r="2154" spans="1:10" customHeight="0">
      <c r="A2154" s="2" t="inlineStr">
        <is>
          <t>Коммутаторы (switch)</t>
        </is>
      </c>
      <c r="B2154" s="2" t="inlineStr">
        <is>
          <t>H3C</t>
        </is>
      </c>
      <c r="C2154" s="2" t="inlineStr">
        <is>
          <t>LS-5570S-54S-EI</t>
        </is>
      </c>
      <c r="D2154" s="2" t="inlineStr">
        <is>
          <t>H3C Коммутатор S5570S-54S-EI L3 Switch 48*10/100/1000BASE-T +6*SFP+ Ports w/o PSU </t>
        </is>
      </c>
      <c r="E2154" s="2">
        <v>1</v>
      </c>
      <c r="F2154" s="2">
        <v>1</v>
      </c>
      <c r="H2154" s="2">
        <v>1794</v>
      </c>
      <c r="I2154" s="2" t="inlineStr">
        <is>
          <t>$</t>
        </is>
      </c>
      <c r="J2154" s="2">
        <f>HYPERLINK("https://app.astro.lead-studio.pro/product/ba317747-eba6-401f-be15-0c964e16e8c8")</f>
      </c>
    </row>
    <row r="2155" spans="1:10" customHeight="0">
      <c r="A2155" s="2" t="inlineStr">
        <is>
          <t>Коммутаторы (switch)</t>
        </is>
      </c>
      <c r="B2155" s="2" t="inlineStr">
        <is>
          <t>H3C</t>
        </is>
      </c>
      <c r="C2155" s="2" t="inlineStr">
        <is>
          <t>LS-6520X-30QC-EI-GL</t>
        </is>
      </c>
      <c r="D2155" s="2" t="inlineStr">
        <is>
          <t>Коммутатор H3C S6520X-30QC-EI L3 Ethernet Switch 24SFP Plus+2QSFP Plus+2Slot w/o PSU</t>
        </is>
      </c>
      <c r="E2155" s="2">
        <v>1</v>
      </c>
      <c r="F2155" s="2">
        <v>1</v>
      </c>
      <c r="H2155" s="2">
        <v>2998</v>
      </c>
      <c r="I2155" s="2" t="inlineStr">
        <is>
          <t>$</t>
        </is>
      </c>
      <c r="J2155" s="2">
        <f>HYPERLINK("https://app.astro.lead-studio.pro/product/a8814f8c-a4f8-4db6-a697-aa819165234a")</f>
      </c>
    </row>
    <row r="2156" spans="1:10" customHeight="0">
      <c r="A2156" s="2" t="inlineStr">
        <is>
          <t>Коммутаторы (switch)</t>
        </is>
      </c>
      <c r="B2156" s="2" t="inlineStr">
        <is>
          <t>H3C</t>
        </is>
      </c>
      <c r="C2156" s="2" t="inlineStr">
        <is>
          <t>LS-6520X-54HC-EI-GL</t>
        </is>
      </c>
      <c r="D2156" s="2" t="inlineStr">
        <is>
          <t>Коммутатор H3C LS-6520X-54HC-EI L3 Ethernet Switch 48SFP Plus+2QSFP28 w/o PSU and Fan </t>
        </is>
      </c>
      <c r="E2156" s="2">
        <v>1</v>
      </c>
      <c r="F2156" s="2">
        <v>1</v>
      </c>
      <c r="H2156" s="2">
        <v>5225</v>
      </c>
      <c r="I2156" s="2" t="inlineStr">
        <is>
          <t>$</t>
        </is>
      </c>
      <c r="J2156" s="2">
        <f>HYPERLINK("https://app.astro.lead-studio.pro/product/c7452eb8-b04d-46b9-92f6-896e822ad9ad")</f>
      </c>
    </row>
    <row r="2157" spans="1:10" customHeight="0">
      <c r="A2157" s="2" t="inlineStr">
        <is>
          <t>Коммутаторы (switch)</t>
        </is>
      </c>
      <c r="B2157" s="2" t="inlineStr">
        <is>
          <t>Mellanox</t>
        </is>
      </c>
      <c r="C2157" s="2" t="inlineStr">
        <is>
          <t>MQM8790-HS2R_</t>
        </is>
      </c>
      <c r="D2157" s="2" t="inlineStr">
        <is>
          <t>Коммутатор Mellanox Quantum MQM8790-HS2R</t>
        </is>
      </c>
      <c r="E2157" s="2">
        <v>2</v>
      </c>
      <c r="F2157" s="2">
        <v>2</v>
      </c>
      <c r="H2157" s="2">
        <v>18700</v>
      </c>
      <c r="I2157" s="2" t="inlineStr">
        <is>
          <t>$</t>
        </is>
      </c>
      <c r="J2157" s="2">
        <f>HYPERLINK("https://app.astro.lead-studio.pro/product/a683ead3-2c87-4bdc-8971-2e6c5aa8ecb7")</f>
      </c>
    </row>
    <row r="2158" spans="1:10" customHeight="0">
      <c r="A2158" s="2" t="inlineStr">
        <is>
          <t>Коммутаторы (switch)</t>
        </is>
      </c>
      <c r="B2158" s="2" t="inlineStr">
        <is>
          <t>CISCO</t>
        </is>
      </c>
      <c r="C2158" s="2" t="inlineStr">
        <is>
          <t>N6K-C6001-64P</t>
        </is>
      </c>
      <c r="D2158" s="2" t="inlineStr">
        <is>
          <t>Коммутатор CISCO Коммутатор Cisco Nexus N6K-C6001-64P Managed, Layer 3, 48x 1/10 GbE/FCoE (SFP+), 4x 40 GbE/FCoE (QSFP+), with 10 and 40 Gb FCoE support on all respective ports</t>
        </is>
      </c>
      <c r="E2158" s="2">
        <v>1</v>
      </c>
      <c r="F2158" s="2">
        <v>1</v>
      </c>
      <c r="H2158" s="2">
        <v>2768</v>
      </c>
      <c r="I2158" s="2" t="inlineStr">
        <is>
          <t>$</t>
        </is>
      </c>
      <c r="J2158" s="2">
        <f>HYPERLINK("https://app.astro.lead-studio.pro/product/3f9eba3d-3e69-4cad-9e18-c6d634dae5eb")</f>
      </c>
    </row>
    <row r="2159" spans="1:10" customHeight="0">
      <c r="A2159" s="2" t="inlineStr">
        <is>
          <t>Коммутаторы (switch)</t>
        </is>
      </c>
      <c r="B2159" s="2" t="inlineStr">
        <is>
          <t>CISCO</t>
        </is>
      </c>
      <c r="C2159" s="2" t="inlineStr">
        <is>
          <t>N9K-C93180YC-FX3</t>
        </is>
      </c>
      <c r="D2159" s="2" t="inlineStr">
        <is>
          <t>Коммутатор CISCO Nexus 93180YC-FX3 Switch with 48x 1/10/25Gb SFP+, 6x 40/100Gb QSFP28, 1U, Layer 2/3, 1x PS (upto 2), FAN (Port-side Intake), 6 Core CPU, DRAM 32GB, SSD 128GB</t>
        </is>
      </c>
      <c r="E2159" s="2">
        <v>2</v>
      </c>
      <c r="F2159" s="2">
        <v>2</v>
      </c>
      <c r="H2159" s="2">
        <v>12680</v>
      </c>
      <c r="I2159" s="2" t="inlineStr">
        <is>
          <t>$</t>
        </is>
      </c>
      <c r="J2159" s="2">
        <f>HYPERLINK("https://app.astro.lead-studio.pro/product/b6b9ccfc-aed6-4185-8c68-405b0df23a14")</f>
      </c>
    </row>
    <row r="2160" spans="1:10" customHeight="0">
      <c r="A2160" s="2" t="inlineStr">
        <is>
          <t>Коммутаторы (switch)</t>
        </is>
      </c>
      <c r="B2160" s="2" t="inlineStr">
        <is>
          <t>ORIGO</t>
        </is>
      </c>
      <c r="C2160" s="2" t="inlineStr">
        <is>
          <t>OI3106P/60W/A1A</t>
        </is>
      </c>
      <c r="D2160" s="2" t="inlineStr">
        <is>
          <t>Коммутатор ORIGO OI3106P/60W/A1A Промышленный управляемый L2 PoE-коммутатор 4x1000Base-T PoE+, 2x1000Base-X SFP, PoE-бюджет 60 Вт</t>
        </is>
      </c>
      <c r="E2160" s="2">
        <v>3</v>
      </c>
      <c r="F2160" s="2">
        <v>3</v>
      </c>
      <c r="H2160" s="2">
        <v>414</v>
      </c>
      <c r="I2160" s="2" t="inlineStr">
        <is>
          <t>$</t>
        </is>
      </c>
      <c r="J2160" s="2">
        <f>HYPERLINK("https://app.astro.lead-studio.pro/product/1e8449b3-07be-44c9-80ab-aebd920ca86e")</f>
      </c>
    </row>
    <row r="2161" spans="1:10" customHeight="0">
      <c r="A2161" s="2" t="inlineStr">
        <is>
          <t>Коммутаторы (switch)</t>
        </is>
      </c>
      <c r="B2161" s="2" t="inlineStr">
        <is>
          <t>ORIGO</t>
        </is>
      </c>
      <c r="C2161" s="2" t="inlineStr">
        <is>
          <t>OI3112P/185W/A1A</t>
        </is>
      </c>
      <c r="D2161" s="2" t="inlineStr">
        <is>
          <t>Коммутатор ORIGO OI3112P/185W/A1A 12-портовый гигабитный промышленный управляемый L2-коммутатор с 8 портами PoE+ и 4 комбо-портами</t>
        </is>
      </c>
      <c r="E2161" s="2">
        <v>25</v>
      </c>
      <c r="F2161" s="2">
        <v>25</v>
      </c>
      <c r="H2161" s="2">
        <v>503</v>
      </c>
      <c r="I2161" s="2" t="inlineStr">
        <is>
          <t>$</t>
        </is>
      </c>
      <c r="J2161" s="2">
        <f>HYPERLINK("https://app.astro.lead-studio.pro/product/0b3bb93d-df4a-4404-ad17-fdb9b890304b")</f>
      </c>
    </row>
    <row r="2162" spans="1:10" customHeight="0">
      <c r="A2162" s="2" t="inlineStr">
        <is>
          <t>Коммутаторы (switch)</t>
        </is>
      </c>
      <c r="B2162" s="2" t="inlineStr">
        <is>
          <t>ORIGO</t>
        </is>
      </c>
      <c r="C2162" s="2" t="inlineStr">
        <is>
          <t>OI3120P/185W/A1A</t>
        </is>
      </c>
      <c r="D2162" s="2" t="inlineStr">
        <is>
          <t>Коммутатор ORIGO OI3120P/185W/A1A Промышленный управляемый L2
PoE-коммутатор 8x1000Base-T PoE+,
12x1000Base-X SFP, PoE-бюджет 185 Вт</t>
        </is>
      </c>
      <c r="E2162" s="2">
        <v>10</v>
      </c>
      <c r="F2162" s="2">
        <v>10</v>
      </c>
      <c r="H2162" s="2">
        <v>559</v>
      </c>
      <c r="I2162" s="2" t="inlineStr">
        <is>
          <t>$</t>
        </is>
      </c>
      <c r="J2162" s="2">
        <f>HYPERLINK("https://app.astro.lead-studio.pro/product/5144e14d-019d-46d7-8e44-6f39af6b4e2f")</f>
      </c>
    </row>
    <row r="2163" spans="1:10" customHeight="0">
      <c r="A2163" s="2" t="inlineStr">
        <is>
          <t>Коммутаторы (switch)</t>
        </is>
      </c>
      <c r="B2163" s="2" t="inlineStr">
        <is>
          <t>ORIGO</t>
        </is>
      </c>
      <c r="C2163" s="2" t="inlineStr">
        <is>
          <t>OS3128P/250W/A1A</t>
        </is>
      </c>
      <c r="D2163" s="2" t="inlineStr">
        <is>
          <t>Коммутатор ORIGO OS3128P/250W/A1A Управляемый L2 PoE-коммутатор
24x1000Base-T PoE+, 2x1000Base-X SFP,
2xCombo 1000Base-T/SFP,
PoE-бюджет 250 Вт</t>
        </is>
      </c>
      <c r="E2163" s="2">
        <v>9</v>
      </c>
      <c r="F2163" s="2">
        <v>9</v>
      </c>
      <c r="H2163" s="2">
        <v>367</v>
      </c>
      <c r="I2163" s="2" t="inlineStr">
        <is>
          <t>$</t>
        </is>
      </c>
      <c r="J2163" s="2">
        <f>HYPERLINK("https://app.astro.lead-studio.pro/product/b7705174-7be5-4296-8938-b5743b7be724")</f>
      </c>
    </row>
    <row r="2164" spans="1:10" customHeight="0">
      <c r="A2164" s="2" t="inlineStr">
        <is>
          <t>Коммутаторы (switch)</t>
        </is>
      </c>
      <c r="B2164" s="2" t="inlineStr">
        <is>
          <t>ORIGO</t>
        </is>
      </c>
      <c r="C2164" s="2" t="inlineStr">
        <is>
          <t>OS3228P/250W/A1A</t>
        </is>
      </c>
      <c r="D2164" s="2" t="inlineStr">
        <is>
          <t>Коммутатор ORIGO OS3228P/250W/A1A Управляемый L3 PoE-коммутатор 24x1000Base-T PoE+, 4x10G SFP+, PoE-бюджет 370 Вт/250 Вт</t>
        </is>
      </c>
      <c r="E2164" s="2">
        <v>6</v>
      </c>
      <c r="F2164" s="2">
        <v>6</v>
      </c>
      <c r="H2164" s="2">
        <v>394</v>
      </c>
      <c r="I2164" s="2" t="inlineStr">
        <is>
          <t>$</t>
        </is>
      </c>
      <c r="J2164" s="2">
        <f>HYPERLINK("https://app.astro.lead-studio.pro/product/2b691f8c-81ce-424d-895e-939c8bd6f366")</f>
      </c>
    </row>
    <row r="2165" spans="1:10" customHeight="0">
      <c r="A2165" s="2" t="inlineStr">
        <is>
          <t>Коммутаторы (switch)</t>
        </is>
      </c>
      <c r="B2165" s="2" t="inlineStr">
        <is>
          <t>ORIGO</t>
        </is>
      </c>
      <c r="C2165" s="2" t="inlineStr">
        <is>
          <t>OS3228P/380W/A1A</t>
        </is>
      </c>
      <c r="D2165" s="2" t="inlineStr">
        <is>
          <t>Коммутатор ORIGO OS3228P/380W/A1A Управляемый L3 PoE-коммутатор 24x1000Base-T PoE+, 4x10G SFP+, PoE-бюджет 370 Вт </t>
        </is>
      </c>
      <c r="E2165" s="2">
        <v>3</v>
      </c>
      <c r="F2165" s="2">
        <v>3</v>
      </c>
      <c r="H2165" s="2">
        <v>419</v>
      </c>
      <c r="I2165" s="2" t="inlineStr">
        <is>
          <t>$</t>
        </is>
      </c>
      <c r="J2165" s="2">
        <f>HYPERLINK("https://app.astro.lead-studio.pro/product/b83e0f6a-e268-4b28-91c4-3ace3f180c50")</f>
      </c>
    </row>
    <row r="2166" spans="1:10" customHeight="0">
      <c r="A2166" s="2" t="inlineStr">
        <is>
          <t>Коммутаторы (switch)</t>
        </is>
      </c>
      <c r="B2166" s="2" t="inlineStr">
        <is>
          <t>HPE</t>
        </is>
      </c>
      <c r="C2166" s="2" t="inlineStr">
        <is>
          <t>R8N86A</t>
        </is>
      </c>
      <c r="D2166" s="2" t="inlineStr">
        <is>
          <t>Коммутатор HPE R8N86A HPE Aruba 6000 Managed L2 48G 4SFP Switch</t>
        </is>
      </c>
      <c r="E2166" s="2">
        <v>10</v>
      </c>
      <c r="F2166" s="2">
        <v>10</v>
      </c>
      <c r="H2166" s="2">
        <v>1166</v>
      </c>
      <c r="I2166" s="2" t="inlineStr">
        <is>
          <t>$</t>
        </is>
      </c>
      <c r="J2166" s="2">
        <f>HYPERLINK("https://app.astro.lead-studio.pro/product/ace23747-cc9f-4f42-8e37-9571f04deeb6")</f>
      </c>
    </row>
    <row r="2167" spans="1:10" customHeight="0">
      <c r="A2167" s="2" t="inlineStr">
        <is>
          <t>Коммутаторы (switch)</t>
        </is>
      </c>
      <c r="B2167" s="2" t="inlineStr">
        <is>
          <t>HPE</t>
        </is>
      </c>
      <c r="C2167" s="2" t="inlineStr">
        <is>
          <t>R8N87A</t>
        </is>
      </c>
      <c r="D2167" s="2" t="inlineStr">
        <is>
          <t>Коммутатор HPE R8N87A HPE Aruba 6000 Managed L2 24G Class4 PoE 370W 4SFP Switch</t>
        </is>
      </c>
      <c r="E2167" s="2">
        <v>10</v>
      </c>
      <c r="F2167" s="2">
        <v>10</v>
      </c>
      <c r="H2167" s="2">
        <v>1411</v>
      </c>
      <c r="I2167" s="2" t="inlineStr">
        <is>
          <t>$</t>
        </is>
      </c>
      <c r="J2167" s="2">
        <f>HYPERLINK("https://app.astro.lead-studio.pro/product/5a0ce12a-da8f-4a75-9f7d-70b1b2958c0e")</f>
      </c>
    </row>
    <row r="2168" spans="1:10" customHeight="0">
      <c r="A2168" s="2" t="inlineStr">
        <is>
          <t>Коммутаторы (switch)</t>
        </is>
      </c>
      <c r="B2168" s="2" t="inlineStr">
        <is>
          <t>HPE</t>
        </is>
      </c>
      <c r="C2168" s="2" t="inlineStr">
        <is>
          <t>R8N88A</t>
        </is>
      </c>
      <c r="D2168" s="2" t="inlineStr">
        <is>
          <t>Коммутатор HPE R8N88A HPE Aruba 6000 Managed L2 24G 4SFP Switch</t>
        </is>
      </c>
      <c r="E2168" s="2">
        <v>10</v>
      </c>
      <c r="F2168" s="2">
        <v>10</v>
      </c>
      <c r="H2168" s="2">
        <v>738</v>
      </c>
      <c r="I2168" s="2" t="inlineStr">
        <is>
          <t>$</t>
        </is>
      </c>
      <c r="J2168" s="2">
        <f>HYPERLINK("https://app.astro.lead-studio.pro/product/ba449807-238e-435a-a76d-7ddbc1e7af1d")</f>
      </c>
    </row>
    <row r="2169" spans="1:10" customHeight="0">
      <c r="A2169" s="2" t="inlineStr">
        <is>
          <t>Коммутаторы (switch)</t>
        </is>
      </c>
      <c r="B2169" s="2" t="inlineStr">
        <is>
          <t>HPE</t>
        </is>
      </c>
      <c r="C2169" s="2" t="inlineStr">
        <is>
          <t>R8N88A||bp</t>
        </is>
      </c>
      <c r="D2169" s="2" t="inlineStr">
        <is>
          <t>Коммутатор HPE Bad Pack R8N88A HPE Коммутатор Aruba 6000 Managed L2 24G 4SFP Switch</t>
        </is>
      </c>
      <c r="E2169" s="2">
        <v>1</v>
      </c>
      <c r="F2169" s="2">
        <v>1</v>
      </c>
      <c r="H2169" s="2">
        <v>742</v>
      </c>
      <c r="I2169" s="2" t="inlineStr">
        <is>
          <t>$</t>
        </is>
      </c>
      <c r="J2169" s="2">
        <f>HYPERLINK("https://app.astro.lead-studio.pro/product/5ecfc09c-183c-4ebb-8c05-039deda0ee7b")</f>
      </c>
    </row>
    <row r="2170" spans="1:10" customHeight="0">
      <c r="A2170" s="2" t="inlineStr">
        <is>
          <t>Коммутаторы (switch)</t>
        </is>
      </c>
      <c r="B2170" s="2" t="inlineStr">
        <is>
          <t>HPE</t>
        </is>
      </c>
      <c r="C2170" s="2" t="inlineStr">
        <is>
          <t>R8N89A</t>
        </is>
      </c>
      <c r="D2170" s="2" t="inlineStr">
        <is>
          <t>Коммутатор HPE R8N89A HPE Aruba 6000 Managed L2 12G Class4 PoE 139W 2SFP Switch</t>
        </is>
      </c>
      <c r="E2170" s="2">
        <v>5</v>
      </c>
      <c r="F2170" s="2">
        <v>5</v>
      </c>
      <c r="H2170" s="2">
        <v>932</v>
      </c>
      <c r="I2170" s="2" t="inlineStr">
        <is>
          <t>$</t>
        </is>
      </c>
      <c r="J2170" s="2">
        <f>HYPERLINK("https://app.astro.lead-studio.pro/product/3b571693-ee17-42ce-bda6-3018dc096ddb")</f>
      </c>
    </row>
    <row r="2171" spans="1:10" customHeight="0">
      <c r="A2171" s="2" t="inlineStr">
        <is>
          <t>Коммутаторы (switch)</t>
        </is>
      </c>
      <c r="B2171" s="2" t="inlineStr">
        <is>
          <t>TP-LINK</t>
        </is>
      </c>
      <c r="C2171" s="2" t="inlineStr">
        <is>
          <t>SG2428P</t>
        </is>
      </c>
      <c r="D2171" s="2" t="inlineStr">
        <is>
          <t>Коммутатор TP-LINK SG2428P JetStream™ 28-портовый гигабитный Smart коммутатор с 24 портами PoE+, 24 гигабитных порта PoE+, 4 гигабитных SFP-слота, 802.3at/af, бюджет PoE — 250 Вт, стальной корпус 1U для монтажа в 19-дюймовую стойку</t>
        </is>
      </c>
      <c r="E2171" s="2">
        <v>26</v>
      </c>
      <c r="F2171" s="2">
        <v>26</v>
      </c>
      <c r="H2171" s="2">
        <v>452</v>
      </c>
      <c r="I2171" s="2" t="inlineStr">
        <is>
          <t>$</t>
        </is>
      </c>
      <c r="J2171" s="2">
        <f>HYPERLINK("https://app.astro.lead-studio.pro/product/29cdd2c7-4833-4605-b71b-bb81e026db96")</f>
      </c>
    </row>
    <row r="2172" spans="1:10" customHeight="0">
      <c r="A2172" s="2" t="inlineStr">
        <is>
          <t>Коммутаторы (switch)</t>
        </is>
      </c>
      <c r="B2172" s="2" t="inlineStr">
        <is>
          <t>TP-LINK</t>
        </is>
      </c>
      <c r="C2172" s="2" t="inlineStr">
        <is>
          <t>SG3210XHP-M2</t>
        </is>
      </c>
      <c r="D2172" s="2" t="inlineStr">
        <is>
          <t>Коммутатор TP-LINK SG3210XHP-M2 Управляемый JetStream уровня 2+ с 8 портами PoE+ 2,5 Гбит/с и 2 портами SFP+</t>
        </is>
      </c>
      <c r="E2172" s="2">
        <v>10</v>
      </c>
      <c r="F2172" s="2">
        <v>10</v>
      </c>
      <c r="H2172" s="2">
        <v>755</v>
      </c>
      <c r="I2172" s="2" t="inlineStr">
        <is>
          <t>$</t>
        </is>
      </c>
      <c r="J2172" s="2">
        <f>HYPERLINK("https://app.astro.lead-studio.pro/product/e7751ff0-e57c-41b3-9ede-7f954a1de1bd")</f>
      </c>
    </row>
    <row r="2173" spans="1:10" customHeight="0">
      <c r="A2173" s="2" t="inlineStr">
        <is>
          <t>Коммутаторы (switch)</t>
        </is>
      </c>
      <c r="B2173" s="2" t="inlineStr">
        <is>
          <t>TP-LINK</t>
        </is>
      </c>
      <c r="C2173" s="2" t="inlineStr">
        <is>
          <t>SG3428MP</t>
        </is>
      </c>
      <c r="D2173" s="2" t="inlineStr">
        <is>
          <t>Коммутатор TP-LINK SG3428MP </t>
        </is>
      </c>
      <c r="E2173" s="2">
        <v>10</v>
      </c>
      <c r="F2173" s="2">
        <v>10</v>
      </c>
      <c r="H2173" s="2">
        <v>624</v>
      </c>
      <c r="I2173" s="2" t="inlineStr">
        <is>
          <t>$</t>
        </is>
      </c>
      <c r="J2173" s="2">
        <f>HYPERLINK("https://app.astro.lead-studio.pro/product/c37d30e0-8ab2-4e52-9321-f515500a622b")</f>
      </c>
    </row>
    <row r="2174" spans="1:10" customHeight="0">
      <c r="A2174" s="2" t="inlineStr">
        <is>
          <t>Коммутаторы (switch)</t>
        </is>
      </c>
      <c r="B2174" s="2" t="inlineStr">
        <is>
          <t>TP-LINK</t>
        </is>
      </c>
      <c r="C2174" s="2" t="inlineStr">
        <is>
          <t>SG3452</t>
        </is>
      </c>
      <c r="D2174" s="2" t="inlineStr">
        <is>
          <t>Коммутатор TP-LINK SG3452 </t>
        </is>
      </c>
      <c r="E2174" s="2">
        <v>10</v>
      </c>
      <c r="F2174" s="2">
        <v>10</v>
      </c>
      <c r="H2174" s="2">
        <v>576</v>
      </c>
      <c r="I2174" s="2" t="inlineStr">
        <is>
          <t>$</t>
        </is>
      </c>
      <c r="J2174" s="2">
        <f>HYPERLINK("https://app.astro.lead-studio.pro/product/93e1d66c-7449-42ae-a7bc-3a050f2717e8")</f>
      </c>
    </row>
    <row r="2175" spans="1:10" customHeight="0">
      <c r="A2175" s="2" t="inlineStr">
        <is>
          <t>Коммутаторы (switch)</t>
        </is>
      </c>
      <c r="B2175" s="2" t="inlineStr">
        <is>
          <t>TP-LINK</t>
        </is>
      </c>
      <c r="C2175" s="2" t="inlineStr">
        <is>
          <t>SG3452P</t>
        </is>
      </c>
      <c r="D2175" s="2" t="inlineStr">
        <is>
          <t>Коммутатор TP-LINK SG3452P </t>
        </is>
      </c>
      <c r="E2175" s="2">
        <v>10</v>
      </c>
      <c r="F2175" s="2">
        <v>10</v>
      </c>
      <c r="H2175" s="2">
        <v>901</v>
      </c>
      <c r="I2175" s="2" t="inlineStr">
        <is>
          <t>$</t>
        </is>
      </c>
      <c r="J2175" s="2">
        <f>HYPERLINK("https://app.astro.lead-studio.pro/product/f46c33b5-5cd7-4785-8a24-6962ddfb1790")</f>
      </c>
    </row>
    <row r="2176" spans="1:10" customHeight="0">
      <c r="A2176" s="2" t="inlineStr">
        <is>
          <t>Коммутаторы (switch)</t>
        </is>
      </c>
      <c r="B2176" s="2" t="inlineStr">
        <is>
          <t>TP-LINK</t>
        </is>
      </c>
      <c r="C2176" s="2" t="inlineStr">
        <is>
          <t>SG3452XP</t>
        </is>
      </c>
      <c r="D2176" s="2" t="inlineStr">
        <is>
          <t>Коммутатор TP-LINK SG3452XP </t>
        </is>
      </c>
      <c r="E2176" s="2">
        <v>10</v>
      </c>
      <c r="F2176" s="2">
        <v>10</v>
      </c>
      <c r="H2176" s="2">
        <v>1186</v>
      </c>
      <c r="I2176" s="2" t="inlineStr">
        <is>
          <t>$</t>
        </is>
      </c>
      <c r="J2176" s="2">
        <f>HYPERLINK("https://app.astro.lead-studio.pro/product/975ac55c-d878-46de-b906-157737926d14")</f>
      </c>
    </row>
    <row r="2177" spans="1:10" customHeight="0">
      <c r="A2177" s="2" t="inlineStr">
        <is>
          <t>Коммутаторы (switch)</t>
        </is>
      </c>
      <c r="B2177" s="2" t="inlineStr">
        <is>
          <t>TP-LINK</t>
        </is>
      </c>
      <c r="C2177" s="2" t="inlineStr">
        <is>
          <t>SL2428P</t>
        </is>
      </c>
      <c r="D2177" s="2" t="inlineStr">
        <is>
          <t>Коммутатор TP-LINK SL2428P </t>
        </is>
      </c>
      <c r="E2177" s="2">
        <v>10</v>
      </c>
      <c r="F2177" s="2">
        <v>10</v>
      </c>
      <c r="H2177" s="2">
        <v>448</v>
      </c>
      <c r="I2177" s="2" t="inlineStr">
        <is>
          <t>$</t>
        </is>
      </c>
      <c r="J2177" s="2">
        <f>HYPERLINK("https://app.astro.lead-studio.pro/product/bdb09dee-e99e-43d7-b9fe-96c532287e23")</f>
      </c>
    </row>
    <row r="2178" spans="1:10" customHeight="0">
      <c r="A2178" s="2" t="inlineStr">
        <is>
          <t>Коммутаторы (switch)</t>
        </is>
      </c>
      <c r="B2178" s="2" t="inlineStr">
        <is>
          <t>Ubiquiti</t>
        </is>
      </c>
      <c r="C2178" s="2" t="inlineStr">
        <is>
          <t>USW-16-POE</t>
        </is>
      </c>
      <c r="D2178" s="2" t="inlineStr">
        <is>
          <t>Коммутатор Ubiquiti UniFi Switch 16 PoE |USW-16-POE| Ubiquiti PoE-коммутатор в стойку, 16х 1G RJ45, 2х SFP, раздача 42 |USW-16-POE| Вт (028547)</t>
        </is>
      </c>
      <c r="E2178" s="2">
        <v>10</v>
      </c>
      <c r="F2178" s="2">
        <v>10</v>
      </c>
      <c r="H2178" s="2">
        <v>451</v>
      </c>
      <c r="I2178" s="2" t="inlineStr">
        <is>
          <t>$</t>
        </is>
      </c>
      <c r="J2178" s="2">
        <f>HYPERLINK("https://app.astro.lead-studio.pro/product/ce4e2855-6550-4153-8f62-939ec03daacb")</f>
      </c>
    </row>
    <row r="2179" spans="1:10" customHeight="0">
      <c r="A2179" s="2" t="inlineStr">
        <is>
          <t>Коммутаторы (switch)</t>
        </is>
      </c>
      <c r="B2179" s="2" t="inlineStr">
        <is>
          <t>Ubiquiti</t>
        </is>
      </c>
      <c r="C2179" s="2" t="inlineStr">
        <is>
          <t>USW-48</t>
        </is>
      </c>
      <c r="D2179" s="2" t="inlineStr">
        <is>
          <t>Коммутатор Ubiquiti UniFi Switch 48 |USW-48| Коммутатор в стойку, 48х 1G RJ45, 4х SFP (072498)</t>
        </is>
      </c>
      <c r="E2179" s="2">
        <v>10</v>
      </c>
      <c r="F2179" s="2">
        <v>10</v>
      </c>
      <c r="H2179" s="2">
        <v>781</v>
      </c>
      <c r="I2179" s="2" t="inlineStr">
        <is>
          <t>$</t>
        </is>
      </c>
      <c r="J2179" s="2">
        <f>HYPERLINK("https://app.astro.lead-studio.pro/product/399ff679-7428-4c69-824a-29ad051bd07e")</f>
      </c>
    </row>
    <row r="2180" spans="1:10" customHeight="0">
      <c r="A2180" s="2" t="inlineStr">
        <is>
          <t>Коммутаторы (switch)</t>
        </is>
      </c>
      <c r="B2180" s="2" t="inlineStr">
        <is>
          <t>Ubiquiti</t>
        </is>
      </c>
      <c r="C2180" s="2" t="inlineStr">
        <is>
          <t>USW-48-PoE</t>
        </is>
      </c>
      <c r="D2180" s="2" t="inlineStr">
        <is>
          <t>Коммутатор Ubiquiti UniFi Switch 48 PoE |USW-48-PoE| Ubiquiti PoE-коммутатор в стойку, 48х 1G RJ45, 4х SFP, раздача 195 |USW-48-PoE| Вт, (072146)</t>
        </is>
      </c>
      <c r="E2180" s="2">
        <v>3</v>
      </c>
      <c r="F2180" s="2">
        <v>3</v>
      </c>
      <c r="H2180" s="2">
        <v>963</v>
      </c>
      <c r="I2180" s="2" t="inlineStr">
        <is>
          <t>$</t>
        </is>
      </c>
      <c r="J2180" s="2">
        <f>HYPERLINK("https://app.astro.lead-studio.pro/product/6e2c0aa6-4270-43c5-b033-7e2211485935")</f>
      </c>
    </row>
    <row r="2181" spans="1:10" customHeight="0">
      <c r="A2181" s="2" t="inlineStr">
        <is>
          <t>Коммутаторы (switch)</t>
        </is>
      </c>
      <c r="B2181" s="2" t="inlineStr">
        <is>
          <t>Ubiquiti</t>
        </is>
      </c>
      <c r="C2181" s="2" t="inlineStr">
        <is>
          <t>USW-Aggregation</t>
        </is>
      </c>
      <c r="D2181" s="2" t="inlineStr">
        <is>
          <t>Коммутатор Ubiquiti UniFi Switch Aggregation |USW-Aggregation| Коммутатор в стойку, 8х 10G SFP+ {2} (074331)</t>
        </is>
      </c>
      <c r="E2181" s="2">
        <v>10</v>
      </c>
      <c r="F2181" s="2">
        <v>10</v>
      </c>
      <c r="H2181" s="2">
        <v>449</v>
      </c>
      <c r="I2181" s="2" t="inlineStr">
        <is>
          <t>$</t>
        </is>
      </c>
      <c r="J2181" s="2">
        <f>HYPERLINK("https://app.astro.lead-studio.pro/product/d60ee177-bcbd-40b1-98d5-d8f60445b35a")</f>
      </c>
    </row>
    <row r="2182" spans="1:10" customHeight="0">
      <c r="A2182" s="2" t="inlineStr">
        <is>
          <t>Коммутаторы (switch)</t>
        </is>
      </c>
      <c r="B2182" s="2" t="inlineStr">
        <is>
          <t>Ubiquiti</t>
        </is>
      </c>
      <c r="C2182" s="2" t="inlineStr">
        <is>
          <t>USW-Enterprise-24-PoE||bp</t>
        </is>
      </c>
      <c r="D2182" s="2" t="inlineStr">
        <is>
          <t>Коммутатор Ubiquiti UniFi Switch Enterprise 24 PoE |USW-Enterprise-24-PoE| Ubiquiti PoE-коммутатор в стойку, 12х 2.5G |USW-Enterprise-24-PoE| RJ45, 12х 1G RJ45, 2х 10G SFP+, раздача 400 Вт {2}</t>
        </is>
      </c>
      <c r="E2182" s="2">
        <v>1</v>
      </c>
      <c r="F2182" s="2">
        <v>1</v>
      </c>
      <c r="H2182" s="2">
        <v>1429</v>
      </c>
      <c r="I2182" s="2" t="inlineStr">
        <is>
          <t>$</t>
        </is>
      </c>
      <c r="J2182" s="2">
        <f>HYPERLINK("https://app.astro.lead-studio.pro/product/281947d7-3f4a-4d36-9df9-ce51ab0d3773")</f>
      </c>
    </row>
    <row r="2183" spans="1:10" customHeight="0">
      <c r="A2183" s="2" t="inlineStr">
        <is>
          <t>Коммутаторы (switch)</t>
        </is>
      </c>
      <c r="B2183" s="2" t="inlineStr">
        <is>
          <t>Ubiquiti</t>
        </is>
      </c>
      <c r="C2183" s="2" t="inlineStr">
        <is>
          <t>USW-Enterprise-48-PoE</t>
        </is>
      </c>
      <c r="D2183" s="2" t="inlineStr">
        <is>
          <t>Коммутатор Ubiquiti UniFi Switch Enterprise 48 PoE |USW-Enterprise-48-PoE| Ubiquiti PoE-коммутатор в стойку, 48х 2.5G |USW-Enterprise-48-PoE-EU| RJ45, 4х 10G SFP+, раздача 720 Вт {2}</t>
        </is>
      </c>
      <c r="E2183" s="2">
        <v>3</v>
      </c>
      <c r="F2183" s="2">
        <v>3</v>
      </c>
      <c r="H2183" s="2">
        <v>3185</v>
      </c>
      <c r="I2183" s="2" t="inlineStr">
        <is>
          <t>$</t>
        </is>
      </c>
      <c r="J2183" s="2">
        <f>HYPERLINK("https://app.astro.lead-studio.pro/product/e0051054-ec04-46ad-88fc-236908ed5be0")</f>
      </c>
    </row>
    <row r="2184" spans="1:10" customHeight="0">
      <c r="A2184" s="2" t="inlineStr">
        <is>
          <t>Коммутаторы (switch)</t>
        </is>
      </c>
      <c r="B2184" s="2" t="inlineStr">
        <is>
          <t>Ubiquiti</t>
        </is>
      </c>
      <c r="C2184" s="2" t="inlineStr">
        <is>
          <t>USW-Enterprise-8-PoE</t>
        </is>
      </c>
      <c r="D2184" s="2" t="inlineStr">
        <is>
          <t>Коммутатор Ubiquiti UniFi Switch Enterprise 8 PoE |USW-Enterprise-8-PoE| Ubiquiti PoE-коммутатор в стойку, 8х 2.5G |USW-Enterprise-8-PoE| RJ45, 2х 10G SFP+, раздача 120 Вт {6} (074775)</t>
        </is>
      </c>
      <c r="E2184" s="2">
        <v>7</v>
      </c>
      <c r="F2184" s="2">
        <v>7</v>
      </c>
      <c r="H2184" s="2">
        <v>898</v>
      </c>
      <c r="I2184" s="2" t="inlineStr">
        <is>
          <t>$</t>
        </is>
      </c>
      <c r="J2184" s="2">
        <f>HYPERLINK("https://app.astro.lead-studio.pro/product/b4f7d527-2311-4b64-ba60-f47152a9f280")</f>
      </c>
    </row>
    <row r="2185" spans="1:10" customHeight="0">
      <c r="A2185" s="2" t="inlineStr">
        <is>
          <t>Коммутаторы (switch)</t>
        </is>
      </c>
      <c r="B2185" s="2" t="inlineStr">
        <is>
          <t>Ubiquiti</t>
        </is>
      </c>
      <c r="C2185" s="2" t="inlineStr">
        <is>
          <t>USW-EnterpriseXG-24</t>
        </is>
      </c>
      <c r="D2185" s="2" t="inlineStr">
        <is>
          <t>Коммутатор Ubiquiti UniFi Switch Enterprise XG 24 |USW-EnterpriseXG-24| Коммутатор в стойку, 24х 10G RJ45, 2х 25G SFP28</t>
        </is>
      </c>
      <c r="E2185" s="2">
        <v>2</v>
      </c>
      <c r="F2185" s="2">
        <v>2</v>
      </c>
      <c r="H2185" s="2">
        <v>2351</v>
      </c>
      <c r="I2185" s="2" t="inlineStr">
        <is>
          <t>$</t>
        </is>
      </c>
      <c r="J2185" s="2">
        <f>HYPERLINK("https://app.astro.lead-studio.pro/product/b0476d6b-7cb3-4029-978e-1df6f676814a")</f>
      </c>
    </row>
    <row r="2186" spans="1:10" customHeight="0">
      <c r="A2186" s="2" t="inlineStr">
        <is>
          <t>Коммутаторы (switch)</t>
        </is>
      </c>
      <c r="B2186" s="2" t="inlineStr">
        <is>
          <t>Ubiquiti</t>
        </is>
      </c>
      <c r="C2186" s="2" t="inlineStr">
        <is>
          <t>USW-Flex-XG</t>
        </is>
      </c>
      <c r="D2186" s="2" t="inlineStr">
        <is>
          <t>Коммутатор Ubiquiti UniFi Switch Flex XG Коммутатор, 4х 10G RJ45, 1х 1G RJ45</t>
        </is>
      </c>
      <c r="E2186" s="2">
        <v>10</v>
      </c>
      <c r="F2186" s="2">
        <v>10</v>
      </c>
      <c r="H2186" s="2">
        <v>478</v>
      </c>
      <c r="I2186" s="2" t="inlineStr">
        <is>
          <t>$</t>
        </is>
      </c>
      <c r="J2186" s="2">
        <f>HYPERLINK("https://app.astro.lead-studio.pro/product/fd067938-7c63-4e08-9820-69e2a446b23f")</f>
      </c>
    </row>
    <row r="2187" spans="1:10" customHeight="0">
      <c r="A2187" s="2" t="inlineStr">
        <is>
          <t>Коммутаторы (switch)</t>
        </is>
      </c>
      <c r="B2187" s="2" t="inlineStr">
        <is>
          <t>Ubiquiti</t>
        </is>
      </c>
      <c r="C2187" s="2" t="inlineStr">
        <is>
          <t>USW-Flex-XG||bp</t>
        </is>
      </c>
      <c r="D2187" s="2" t="inlineStr">
        <is>
          <t>Коммутатор Ubiquiti UniFi Switch Flex XG Коммутатор, 4х 10G RJ45, 1х 1G RJ45</t>
        </is>
      </c>
      <c r="E2187" s="2">
        <v>1</v>
      </c>
      <c r="F2187" s="2">
        <v>1</v>
      </c>
      <c r="H2187" s="2">
        <v>451</v>
      </c>
      <c r="I2187" s="2" t="inlineStr">
        <is>
          <t>$</t>
        </is>
      </c>
      <c r="J2187" s="2">
        <f>HYPERLINK("https://app.astro.lead-studio.pro/product/6efeeb7c-0d25-40d1-b9bf-8ac738532049")</f>
      </c>
    </row>
    <row r="2188" spans="1:10" customHeight="0">
      <c r="A2188" s="2" t="inlineStr">
        <is>
          <t>Коммутаторы (switch)</t>
        </is>
      </c>
      <c r="B2188" s="2" t="inlineStr">
        <is>
          <t>Ubiquiti</t>
        </is>
      </c>
      <c r="C2188" s="2" t="inlineStr">
        <is>
          <t>USW-Pro-24</t>
        </is>
      </c>
      <c r="D2188" s="2" t="inlineStr">
        <is>
          <t>Коммутатор Ubiquiti UniFi Switch 24 PRO |USW-Pro-24| коммутатор в стойку, 24х 1G RJ45, 2х 10G SFP+ {2} (070623)</t>
        </is>
      </c>
      <c r="E2188" s="2">
        <v>10</v>
      </c>
      <c r="F2188" s="2">
        <v>10</v>
      </c>
      <c r="H2188" s="2">
        <v>705</v>
      </c>
      <c r="I2188" s="2" t="inlineStr">
        <is>
          <t>$</t>
        </is>
      </c>
      <c r="J2188" s="2">
        <f>HYPERLINK("https://app.astro.lead-studio.pro/product/44cbddfe-d7bb-40b2-afab-28605e25b34f")</f>
      </c>
    </row>
    <row r="2189" spans="1:10" customHeight="0">
      <c r="A2189" s="2" t="inlineStr">
        <is>
          <t>Коммутаторы (switch)</t>
        </is>
      </c>
      <c r="B2189" s="2" t="inlineStr">
        <is>
          <t>Ubiquiti</t>
        </is>
      </c>
      <c r="C2189" s="2" t="inlineStr">
        <is>
          <t>USW-Pro-24-POE</t>
        </is>
      </c>
      <c r="D2189" s="2" t="inlineStr">
        <is>
          <t>Коммутатор Ubiquiti UniFi Switch Pro 24 PoE |USW-Pro-24-POE| Ubiquiti PoE-коммутатор в стойку, 24х 1G RJ45, 2х 10G |USW-Pro-24-POE| SFP+, раздача 400 Вт RTL {2}</t>
        </is>
      </c>
      <c r="E2189" s="2">
        <v>5</v>
      </c>
      <c r="F2189" s="2">
        <v>5</v>
      </c>
      <c r="H2189" s="2">
        <v>1163</v>
      </c>
      <c r="I2189" s="2" t="inlineStr">
        <is>
          <t>$</t>
        </is>
      </c>
      <c r="J2189" s="2">
        <f>HYPERLINK("https://app.astro.lead-studio.pro/product/57a0c7bb-7983-43cd-b69b-d00d492fb676")</f>
      </c>
    </row>
    <row r="2190" spans="1:10" customHeight="0">
      <c r="A2190" s="2" t="inlineStr">
        <is>
          <t>Коммутаторы (switch)</t>
        </is>
      </c>
      <c r="B2190" s="2" t="inlineStr">
        <is>
          <t>Ubiquiti</t>
        </is>
      </c>
      <c r="C2190" s="2" t="inlineStr">
        <is>
          <t>USW-Pro-48</t>
        </is>
      </c>
      <c r="D2190" s="2" t="inlineStr">
        <is>
          <t>Коммутатор Ubiquiti UniFi Switch 48 PRO |USW-Pro-48| Коммутатор в стойку, 48х 1G RJ45, 4х 10G SFP+ (070616)</t>
        </is>
      </c>
      <c r="E2190" s="2">
        <v>9</v>
      </c>
      <c r="F2190" s="2">
        <v>9</v>
      </c>
      <c r="H2190" s="2">
        <v>1117</v>
      </c>
      <c r="I2190" s="2" t="inlineStr">
        <is>
          <t>$</t>
        </is>
      </c>
      <c r="J2190" s="2">
        <f>HYPERLINK("https://app.astro.lead-studio.pro/product/d7b0c02b-1edf-4172-a9ab-0154c4d391d2")</f>
      </c>
    </row>
    <row r="2191" spans="1:10" customHeight="0">
      <c r="A2191" s="2" t="inlineStr">
        <is>
          <t>Коммутаторы (switch)</t>
        </is>
      </c>
      <c r="B2191" s="2" t="inlineStr">
        <is>
          <t>Ubiquiti</t>
        </is>
      </c>
      <c r="C2191" s="2" t="inlineStr">
        <is>
          <t>USW-Pro-48||bp</t>
        </is>
      </c>
      <c r="D2191" s="2" t="inlineStr">
        <is>
          <t>Коммутатор Ubiquiti UniFi Switch 48 PRO |USW-Pro-48| Коммутатор в стойку, 48х 1G RJ45, 4х 10G SFP+ (070616)</t>
        </is>
      </c>
      <c r="E2191" s="2">
        <v>1</v>
      </c>
      <c r="F2191" s="2">
        <v>1</v>
      </c>
      <c r="H2191" s="2">
        <v>1063</v>
      </c>
      <c r="I2191" s="2" t="inlineStr">
        <is>
          <t>$</t>
        </is>
      </c>
      <c r="J2191" s="2">
        <f>HYPERLINK("https://app.astro.lead-studio.pro/product/e360a87c-99bd-4ba5-a691-96a34444a59a")</f>
      </c>
    </row>
    <row r="2192" spans="1:10" customHeight="0">
      <c r="A2192" s="2" t="inlineStr">
        <is>
          <t>Коммутаторы (switch)</t>
        </is>
      </c>
      <c r="B2192" s="2" t="inlineStr">
        <is>
          <t>Ubiquiti</t>
        </is>
      </c>
      <c r="C2192" s="2" t="inlineStr">
        <is>
          <t>USW-Pro-Aggregation</t>
        </is>
      </c>
      <c r="D2192" s="2" t="inlineStr">
        <is>
          <t>Коммутатор Ubiquiti UniFi Switch Aggregation Pro |USW-Pro-Aggregation| Ubiquiti Коммутатор, 28х 10G SFP+, 4х 25G SFP28 |USW-Pro-Aggregation| {2} (072597)</t>
        </is>
      </c>
      <c r="E2192" s="2">
        <v>3</v>
      </c>
      <c r="F2192" s="2">
        <v>3</v>
      </c>
      <c r="H2192" s="2">
        <v>1498</v>
      </c>
      <c r="I2192" s="2" t="inlineStr">
        <is>
          <t>$</t>
        </is>
      </c>
      <c r="J2192" s="2">
        <f>HYPERLINK("https://app.astro.lead-studio.pro/product/6064fd2d-cdee-465c-9a04-05d0609246f0")</f>
      </c>
    </row>
    <row r="2193" spans="1:10" customHeight="0">
      <c r="A2193" s="2" t="inlineStr">
        <is>
          <t>Коммутаторы (switch)</t>
        </is>
      </c>
      <c r="B2193" s="2" t="inlineStr">
        <is>
          <t>Ubiquiti</t>
        </is>
      </c>
      <c r="C2193" s="2" t="inlineStr">
        <is>
          <t>USW-Pro-Max-24</t>
        </is>
      </c>
      <c r="D2193" s="2" t="inlineStr">
        <is>
          <t>Коммутатор Ubiquiti USW-Pro-Max-24 24-port, Layer 3 Etherlighting™ switch with 2.5 GbE.</t>
        </is>
      </c>
      <c r="E2193" s="2">
        <v>3</v>
      </c>
      <c r="F2193" s="2">
        <v>3</v>
      </c>
      <c r="H2193" s="2">
        <v>751</v>
      </c>
      <c r="I2193" s="2" t="inlineStr">
        <is>
          <t>$</t>
        </is>
      </c>
      <c r="J2193" s="2">
        <f>HYPERLINK("https://app.astro.lead-studio.pro/product/ad7ed296-6597-48ac-8d25-5423d8a15a78")</f>
      </c>
    </row>
    <row r="2194" spans="1:10" customHeight="0">
      <c r="A2194" s="2" t="inlineStr">
        <is>
          <t>Коммутаторы (switch)</t>
        </is>
      </c>
      <c r="B2194" s="2" t="inlineStr">
        <is>
          <t>Ubiquiti</t>
        </is>
      </c>
      <c r="C2194" s="2" t="inlineStr">
        <is>
          <t>USW-Pro-Max-24-PoE</t>
        </is>
      </c>
      <c r="D2194" s="2" t="inlineStr">
        <is>
          <t>Коммутатор Ubiquiti USW-Pro-Max-24-PoE 24-port, Layer 3 Etherlighting™ switch with 2.5 GbE and PoE++ output 400W</t>
        </is>
      </c>
      <c r="E2194" s="2">
        <v>7</v>
      </c>
      <c r="F2194" s="2">
        <v>7</v>
      </c>
      <c r="H2194" s="2">
        <v>1225</v>
      </c>
      <c r="I2194" s="2" t="inlineStr">
        <is>
          <t>$</t>
        </is>
      </c>
      <c r="J2194" s="2">
        <f>HYPERLINK("https://app.astro.lead-studio.pro/product/8c8ded5f-37c6-4114-ae98-5905124f93a5")</f>
      </c>
    </row>
    <row r="2195" spans="1:10" customHeight="0">
      <c r="A2195" s="2" t="inlineStr">
        <is>
          <t>Коммутаторы (switch)</t>
        </is>
      </c>
      <c r="B2195" s="2" t="inlineStr">
        <is>
          <t>Ubiquiti</t>
        </is>
      </c>
      <c r="C2195" s="2" t="inlineStr">
        <is>
          <t>USW-Pro-Max-48</t>
        </is>
      </c>
      <c r="D2195" s="2" t="inlineStr">
        <is>
          <t>Коммутатор Ubiquiti USW-Pro-Max-48 48-port, Layer 3 Etherlighting™ switch with 2.5 GbE</t>
        </is>
      </c>
      <c r="E2195" s="2">
        <v>4</v>
      </c>
      <c r="F2195" s="2">
        <v>4</v>
      </c>
      <c r="H2195" s="2">
        <v>1334</v>
      </c>
      <c r="I2195" s="2" t="inlineStr">
        <is>
          <t>$</t>
        </is>
      </c>
      <c r="J2195" s="2">
        <f>HYPERLINK("https://app.astro.lead-studio.pro/product/9d4f0f2c-b55f-45e0-87d7-70c9d36c77dc")</f>
      </c>
    </row>
    <row r="2196" spans="1:10" customHeight="0">
      <c r="A2196" s="2" t="inlineStr">
        <is>
          <t>Проводные маршрутизаторы (router)</t>
        </is>
      </c>
      <c r="B2196" s="2" t="inlineStr">
        <is>
          <t>ASUS</t>
        </is>
      </c>
      <c r="C2196" s="2" t="inlineStr">
        <is>
          <t>90IG05Z0-MO3A20</t>
        </is>
      </c>
      <c r="D2196" s="2" t="inlineStr">
        <is>
          <t>Маршрутизатор ASUS ET12/EU/13/P_EU_UK /2-PK (90IG05Z0-MO3A20) </t>
        </is>
      </c>
      <c r="E2196" s="2">
        <v>16</v>
      </c>
      <c r="F2196" s="2">
        <v>16</v>
      </c>
      <c r="H2196" s="2">
        <v>991</v>
      </c>
      <c r="I2196" s="2" t="inlineStr">
        <is>
          <t>$</t>
        </is>
      </c>
      <c r="J2196" s="2">
        <f>HYPERLINK("https://app.astro.lead-studio.pro/product/30c20366-fd6e-4d29-9a0a-5b159f51f0ba")</f>
      </c>
    </row>
    <row r="2197" spans="1:10" customHeight="0">
      <c r="A2197" s="2" t="inlineStr">
        <is>
          <t>Проводные маршрутизаторы (router)</t>
        </is>
      </c>
      <c r="B2197" s="2" t="inlineStr">
        <is>
          <t>ASUS</t>
        </is>
      </c>
      <c r="C2197" s="2" t="inlineStr">
        <is>
          <t>90IG0820-MO3A00</t>
        </is>
      </c>
      <c r="D2197" s="2" t="inlineStr">
        <is>
          <t>Маршрутизатор ASUS RT-AX88U PRO/EU/13/P_EU (90IG0820-MO3A00) </t>
        </is>
      </c>
      <c r="E2197" s="2">
        <v>7</v>
      </c>
      <c r="F2197" s="2">
        <v>7</v>
      </c>
      <c r="H2197" s="2">
        <v>321</v>
      </c>
      <c r="I2197" s="2" t="inlineStr">
        <is>
          <t>$</t>
        </is>
      </c>
      <c r="J2197" s="2">
        <f>HYPERLINK("https://app.astro.lead-studio.pro/product/f02c5c12-40c1-4ee8-ae2c-7866aff07f20")</f>
      </c>
    </row>
    <row r="2198" spans="1:10" customHeight="0">
      <c r="A2198" s="2" t="inlineStr">
        <is>
          <t>Проводные маршрутизаторы (router)</t>
        </is>
      </c>
      <c r="B2198" s="2" t="inlineStr">
        <is>
          <t>CISCO</t>
        </is>
      </c>
      <c r="C2198" s="2" t="inlineStr">
        <is>
          <t>C1111-8P</t>
        </is>
      </c>
      <c r="D2198" s="2" t="inlineStr">
        <is>
          <t>Коммутатор CISCO ISR 1100 Ethernet Router, 8x LAN Ports, Dual WAN Ports, C1111-8P </t>
        </is>
      </c>
      <c r="E2198" s="2">
        <v>2</v>
      </c>
      <c r="F2198" s="2">
        <v>2</v>
      </c>
      <c r="H2198" s="2">
        <v>1041</v>
      </c>
      <c r="I2198" s="2" t="inlineStr">
        <is>
          <t>$</t>
        </is>
      </c>
      <c r="J2198" s="2">
        <f>HYPERLINK("https://app.astro.lead-studio.pro/product/34432e8c-1baf-4e63-a557-ad2b79ff4ef6")</f>
      </c>
    </row>
    <row r="2199" spans="1:10" customHeight="0">
      <c r="A2199" s="2" t="inlineStr">
        <is>
          <t>Проводные маршрутизаторы (router)</t>
        </is>
      </c>
      <c r="B2199" s="2" t="inlineStr">
        <is>
          <t>CISCO</t>
        </is>
      </c>
      <c r="C2199" s="2" t="inlineStr">
        <is>
          <t>C1121-4P</t>
        </is>
      </c>
      <c r="D2199" s="2" t="inlineStr">
        <is>
          <t>Маршрутизатор CISCO C1121-4P ISR 1100 Ethernet Router</t>
        </is>
      </c>
      <c r="E2199" s="2">
        <v>2</v>
      </c>
      <c r="F2199" s="2">
        <v>2</v>
      </c>
      <c r="H2199" s="2">
        <v>571</v>
      </c>
      <c r="I2199" s="2" t="inlineStr">
        <is>
          <t>$</t>
        </is>
      </c>
      <c r="J2199" s="2">
        <f>HYPERLINK("https://app.astro.lead-studio.pro/product/cb0628b6-f886-43a9-97ee-41efb60294d0")</f>
      </c>
    </row>
    <row r="2200" spans="1:10" customHeight="0">
      <c r="A2200" s="2" t="inlineStr">
        <is>
          <t>Проводные маршрутизаторы (router)</t>
        </is>
      </c>
      <c r="B2200" s="2" t="inlineStr">
        <is>
          <t>MIKROTIK</t>
        </is>
      </c>
      <c r="C2200" s="2" t="inlineStr">
        <is>
          <t>CCR2216-1G-12XS-2XQ</t>
        </is>
      </c>
      <c r="D2200" s="2" t="inlineStr">
        <is>
          <t>Маршрутизатор MikroTik Cloud Core Router CCR2216-1G-12XS-2XQ</t>
        </is>
      </c>
      <c r="E2200" s="2">
        <v>11</v>
      </c>
      <c r="F2200" s="2">
        <v>11</v>
      </c>
      <c r="H2200" s="2">
        <v>3705</v>
      </c>
      <c r="I2200" s="2" t="inlineStr">
        <is>
          <t>$</t>
        </is>
      </c>
      <c r="J2200" s="2">
        <f>HYPERLINK("https://app.astro.lead-studio.pro/product/40c03dfe-23b9-4b85-aada-7d8d006ba0bf")</f>
      </c>
    </row>
    <row r="2201" spans="1:10" customHeight="0">
      <c r="A2201" s="2" t="inlineStr">
        <is>
          <t>Прочее сетевое оборудование</t>
        </is>
      </c>
      <c r="B2201" s="2" t="inlineStr">
        <is>
          <t>Mellanox</t>
        </is>
      </c>
      <c r="C2201" s="2" t="inlineStr">
        <is>
          <t>MFA1A00-E005</t>
        </is>
      </c>
      <c r="D2201" s="2" t="inlineStr">
        <is>
          <t>Кабель Mellanox MFA1A00-E005   Mellanox® active fiber cable, IB EDR, up to 100Gb/s, QSFP, LSZH, 5m</t>
        </is>
      </c>
      <c r="E2201" s="2">
        <v>20</v>
      </c>
      <c r="F2201" s="2">
        <v>20</v>
      </c>
      <c r="H2201" s="2">
        <v>471</v>
      </c>
      <c r="I2201" s="2" t="inlineStr">
        <is>
          <t>$</t>
        </is>
      </c>
      <c r="J2201" s="2">
        <f>HYPERLINK("https://app.astro.lead-studio.pro/product/80df570e-a43a-4bdf-a9e7-e4a7e1dc5a04")</f>
      </c>
    </row>
    <row r="2202" spans="1:10" customHeight="0">
      <c r="A2202" s="2" t="inlineStr">
        <is>
          <t>Прочее сетевое оборудование</t>
        </is>
      </c>
      <c r="B2202" s="2" t="inlineStr">
        <is>
          <t>Mellanox</t>
        </is>
      </c>
      <c r="C2202" s="2" t="inlineStr">
        <is>
          <t>MFA1A00-E010</t>
        </is>
      </c>
      <c r="D2202" s="2" t="inlineStr">
        <is>
          <t>Кабель Mellanox Кабель MFA1A00-E010   Mellanox® active fiber cable, IB EDR, up to 100Gb/s, QSFP, LSZH, 10m</t>
        </is>
      </c>
      <c r="E2202" s="2">
        <v>13</v>
      </c>
      <c r="F2202" s="2">
        <v>13</v>
      </c>
      <c r="H2202" s="2">
        <v>647</v>
      </c>
      <c r="I2202" s="2" t="inlineStr">
        <is>
          <t>$</t>
        </is>
      </c>
      <c r="J2202" s="2">
        <f>HYPERLINK("https://app.astro.lead-studio.pro/product/5f37f5be-696e-4724-af83-358f8cb7165c")</f>
      </c>
    </row>
    <row r="2203" spans="1:10" customHeight="0">
      <c r="A2203" s="2" t="inlineStr">
        <is>
          <t>Прочее сетевое оборудование</t>
        </is>
      </c>
      <c r="B2203" s="2" t="inlineStr">
        <is>
          <t>Mellanox</t>
        </is>
      </c>
      <c r="C2203" s="2" t="inlineStr">
        <is>
          <t>MFA1A00-E015</t>
        </is>
      </c>
      <c r="D2203" s="2" t="inlineStr">
        <is>
          <t>Кабель Mellanox MFA1A00-E015</t>
        </is>
      </c>
      <c r="E2203" s="2">
        <v>20</v>
      </c>
      <c r="F2203" s="2">
        <v>20</v>
      </c>
      <c r="H2203" s="2">
        <v>345</v>
      </c>
      <c r="I2203" s="2" t="inlineStr">
        <is>
          <t>$</t>
        </is>
      </c>
      <c r="J2203" s="2">
        <f>HYPERLINK("https://app.astro.lead-studio.pro/product/39e947d8-2acf-430d-860e-9efd9f233f8d")</f>
      </c>
    </row>
    <row r="2204" spans="1:10" customHeight="0">
      <c r="A2204" s="2" t="inlineStr">
        <is>
          <t>Прочее сетевое оборудование</t>
        </is>
      </c>
      <c r="B2204" s="2" t="inlineStr">
        <is>
          <t>Mellanox</t>
        </is>
      </c>
      <c r="C2204" s="2" t="inlineStr">
        <is>
          <t>MFA1A00-E020</t>
        </is>
      </c>
      <c r="D2204" s="2" t="inlineStr">
        <is>
          <t>Кабель Mellanox Кабель MFA1A00-E020   Mellanox® active fiber cable, IB EDR, up to 100Gb/s, QSFP, LSZH, 20m</t>
        </is>
      </c>
      <c r="E2204" s="2">
        <v>17</v>
      </c>
      <c r="F2204" s="2">
        <v>17</v>
      </c>
      <c r="H2204" s="2">
        <v>363</v>
      </c>
      <c r="I2204" s="2" t="inlineStr">
        <is>
          <t>$</t>
        </is>
      </c>
      <c r="J2204" s="2">
        <f>HYPERLINK("https://app.astro.lead-studio.pro/product/ab78c1d1-10dd-431e-9a72-b4e7e685344c")</f>
      </c>
    </row>
    <row r="2205" spans="1:10" customHeight="0">
      <c r="A2205" s="2" t="inlineStr">
        <is>
          <t>Прочее сетевое оборудование</t>
        </is>
      </c>
      <c r="B2205" s="2" t="inlineStr">
        <is>
          <t>CISCO</t>
        </is>
      </c>
      <c r="C2205" s="2" t="inlineStr">
        <is>
          <t>STACK-T1-3M=</t>
        </is>
      </c>
      <c r="D2205" s="2" t="inlineStr">
        <is>
          <t>Кабель CISCO StackWise-480/1T 3m stacking cable </t>
        </is>
      </c>
      <c r="E2205" s="2">
        <v>2</v>
      </c>
      <c r="F2205" s="2">
        <v>2</v>
      </c>
      <c r="H2205" s="2">
        <v>476</v>
      </c>
      <c r="I2205" s="2" t="inlineStr">
        <is>
          <t>$</t>
        </is>
      </c>
      <c r="J2205" s="2">
        <f>HYPERLINK("https://app.astro.lead-studio.pro/product/ffafedb7-568f-41c0-a4e0-e688440634e9")</f>
      </c>
    </row>
    <row r="2206" spans="1:10" customHeight="0">
      <c r="A2206" s="2" t="inlineStr">
        <is>
          <t>Прочее сетевое оборудование</t>
        </is>
      </c>
      <c r="B2206" s="2" t="inlineStr">
        <is>
          <t>CISCO</t>
        </is>
      </c>
      <c r="C2206" s="2" t="inlineStr">
        <is>
          <t>C9200L-STACK-KIT=</t>
        </is>
      </c>
      <c r="D2206" s="2" t="inlineStr">
        <is>
          <t>Модуль интерфейсный CISCO Cisco Catalyst 9200L Stack Module , C9200L-STACK-KIT=</t>
        </is>
      </c>
      <c r="E2206" s="2">
        <v>1</v>
      </c>
      <c r="F2206" s="2">
        <v>1</v>
      </c>
      <c r="H2206" s="2">
        <v>849</v>
      </c>
      <c r="I2206" s="2" t="inlineStr">
        <is>
          <t>$</t>
        </is>
      </c>
      <c r="J2206" s="2">
        <f>HYPERLINK("https://app.astro.lead-studio.pro/product/231f416a-7635-4862-a306-1bf57c37b31f")</f>
      </c>
    </row>
    <row r="2207" spans="1:10" customHeight="0">
      <c r="A2207" s="2" t="inlineStr">
        <is>
          <t>Прочее сетевое оборудование</t>
        </is>
      </c>
      <c r="B2207" s="2" t="inlineStr">
        <is>
          <t>CISCO</t>
        </is>
      </c>
      <c r="C2207" s="2" t="inlineStr">
        <is>
          <t>C9200-NM-4G</t>
        </is>
      </c>
      <c r="D2207" s="2" t="inlineStr">
        <is>
          <t>Модуль интерфейсный CISCO Catalyst 9200 4x1Gb SFP Uplink Module, C9200-NM-4G= </t>
        </is>
      </c>
      <c r="E2207" s="2">
        <v>3</v>
      </c>
      <c r="F2207" s="2">
        <v>3</v>
      </c>
      <c r="H2207" s="2">
        <v>351</v>
      </c>
      <c r="I2207" s="2" t="inlineStr">
        <is>
          <t>$</t>
        </is>
      </c>
      <c r="J2207" s="2">
        <f>HYPERLINK("https://app.astro.lead-studio.pro/product/881984cd-0f03-45fd-a184-d9ffa3236230")</f>
      </c>
    </row>
    <row r="2208" spans="1:10" customHeight="0">
      <c r="A2208" s="2" t="inlineStr">
        <is>
          <t>Прочее сетевое оборудование</t>
        </is>
      </c>
      <c r="B2208" s="2" t="inlineStr">
        <is>
          <t>CISCO</t>
        </is>
      </c>
      <c r="C2208" s="2" t="inlineStr">
        <is>
          <t>C9200-NM-4X</t>
        </is>
      </c>
      <c r="D2208" s="2" t="inlineStr">
        <is>
          <t>Модуль интерфейсный CISCO Catalyst 9200 4x10Gb SFP+ Uplink Module, C9200-NM-4X= </t>
        </is>
      </c>
      <c r="E2208" s="2">
        <v>3</v>
      </c>
      <c r="F2208" s="2">
        <v>3</v>
      </c>
      <c r="H2208" s="2">
        <v>1237</v>
      </c>
      <c r="I2208" s="2" t="inlineStr">
        <is>
          <t>$</t>
        </is>
      </c>
      <c r="J2208" s="2">
        <f>HYPERLINK("https://app.astro.lead-studio.pro/product/6038fa8d-c017-4178-9f16-ec519bdee7b7")</f>
      </c>
    </row>
    <row r="2209" spans="1:10" customHeight="0">
      <c r="A2209" s="2" t="inlineStr">
        <is>
          <t>Прочее сетевое оборудование</t>
        </is>
      </c>
      <c r="B2209" s="2" t="inlineStr">
        <is>
          <t>CISCO</t>
        </is>
      </c>
      <c r="C2209" s="2" t="inlineStr">
        <is>
          <t>C9300L-STACK-KIT=</t>
        </is>
      </c>
      <c r="D2209" s="2" t="inlineStr">
        <is>
          <t>Модуль интерфейсный CISCO Cisco Catalyst 9300L Stack Module , C9300L-STACK-KIT=</t>
        </is>
      </c>
      <c r="E2209" s="2">
        <v>2</v>
      </c>
      <c r="F2209" s="2">
        <v>2</v>
      </c>
      <c r="H2209" s="2">
        <v>809</v>
      </c>
      <c r="I2209" s="2" t="inlineStr">
        <is>
          <t>$</t>
        </is>
      </c>
      <c r="J2209" s="2">
        <f>HYPERLINK("https://app.astro.lead-studio.pro/product/daba28f7-d65b-4af2-89e1-c720606b15d0")</f>
      </c>
    </row>
    <row r="2210" spans="1:10" customHeight="0">
      <c r="A2210" s="2" t="inlineStr">
        <is>
          <t>Прочее сетевое оборудование</t>
        </is>
      </c>
      <c r="B2210" s="2" t="inlineStr">
        <is>
          <t>CISCO</t>
        </is>
      </c>
      <c r="C2210" s="2" t="inlineStr">
        <is>
          <t>C9300-NM-4G=</t>
        </is>
      </c>
      <c r="D2210" s="2" t="inlineStr">
        <is>
          <t>Модуль интерфейсный CISCO Catalyst 9300 4x1Gb SFP Uplink Module, C9300-NM-4G= </t>
        </is>
      </c>
      <c r="E2210" s="2">
        <v>1</v>
      </c>
      <c r="F2210" s="2">
        <v>1</v>
      </c>
      <c r="H2210" s="2">
        <v>392</v>
      </c>
      <c r="I2210" s="2" t="inlineStr">
        <is>
          <t>$</t>
        </is>
      </c>
      <c r="J2210" s="2">
        <f>HYPERLINK("https://app.astro.lead-studio.pro/product/5bf65238-e601-4cf1-902e-0c9730292488")</f>
      </c>
    </row>
    <row r="2211" spans="1:10" customHeight="0">
      <c r="A2211" s="2" t="inlineStr">
        <is>
          <t>Прочее сетевое оборудование</t>
        </is>
      </c>
      <c r="B2211" s="2" t="inlineStr">
        <is>
          <t>CISCO</t>
        </is>
      </c>
      <c r="C2211" s="2" t="inlineStr">
        <is>
          <t>C9300-NM-8X=</t>
        </is>
      </c>
      <c r="D2211" s="2" t="inlineStr">
        <is>
          <t>Модуль интерфейсный CISCO Catalyst 9300 8x10Gb SFP+ Uplink Module, C9300-NM-8X= </t>
        </is>
      </c>
      <c r="E2211" s="2">
        <v>2</v>
      </c>
      <c r="F2211" s="2">
        <v>2</v>
      </c>
      <c r="H2211" s="2">
        <v>911</v>
      </c>
      <c r="I2211" s="2" t="inlineStr">
        <is>
          <t>$</t>
        </is>
      </c>
      <c r="J2211" s="2">
        <f>HYPERLINK("https://app.astro.lead-studio.pro/product/3b6c090a-bcfa-474a-aa8c-80a5b697a4c7")</f>
      </c>
    </row>
    <row r="2212" spans="1:10" customHeight="0">
      <c r="A2212" s="2" t="inlineStr">
        <is>
          <t>Прочее сетевое оборудование</t>
        </is>
      </c>
      <c r="B2212" s="2" t="inlineStr">
        <is>
          <t>CISCO</t>
        </is>
      </c>
      <c r="C2212" s="2" t="inlineStr">
        <is>
          <t>C9300X-NM-2C</t>
        </is>
      </c>
      <c r="D2212" s="2" t="inlineStr">
        <is>
          <t>Модуль интерфейсный CISCO Catalyst 9300 2x 100G/40G Network Uplink Module (QSFP+/QSFP28), C9300X-NM-2C </t>
        </is>
      </c>
      <c r="E2212" s="2">
        <v>2</v>
      </c>
      <c r="F2212" s="2">
        <v>2</v>
      </c>
      <c r="H2212" s="2">
        <v>1126</v>
      </c>
      <c r="I2212" s="2" t="inlineStr">
        <is>
          <t>$</t>
        </is>
      </c>
      <c r="J2212" s="2">
        <f>HYPERLINK("https://app.astro.lead-studio.pro/product/01d98d20-2040-4994-9341-83564383ad15")</f>
      </c>
    </row>
    <row r="2213" spans="1:10" customHeight="0">
      <c r="A2213" s="2" t="inlineStr">
        <is>
          <t>Прочее сетевое оборудование</t>
        </is>
      </c>
      <c r="B2213" s="2" t="inlineStr">
        <is>
          <t>CISCO</t>
        </is>
      </c>
      <c r="C2213" s="2" t="inlineStr">
        <is>
          <t>C9300X-NM-8Y</t>
        </is>
      </c>
      <c r="D2213" s="2" t="inlineStr">
        <is>
          <t>Модуль интерфейсный CISCO Catalyst 9300 8x 25GE / 10GE / 1GE Network Uplink Module (SFP28), C9300X-NM-8Y </t>
        </is>
      </c>
      <c r="E2213" s="2">
        <v>2</v>
      </c>
      <c r="F2213" s="2">
        <v>2</v>
      </c>
      <c r="H2213" s="2">
        <v>1126</v>
      </c>
      <c r="I2213" s="2" t="inlineStr">
        <is>
          <t>$</t>
        </is>
      </c>
      <c r="J2213" s="2">
        <f>HYPERLINK("https://app.astro.lead-studio.pro/product/f7039186-692b-4e74-8cf1-8f0ed6e32b19")</f>
      </c>
    </row>
    <row r="2214" spans="1:10" customHeight="0">
      <c r="A2214" s="2" t="inlineStr">
        <is>
          <t>Прочее сетевое оборудование</t>
        </is>
      </c>
      <c r="B2214" s="2" t="inlineStr">
        <is>
          <t>CISCO</t>
        </is>
      </c>
      <c r="C2214" s="2" t="inlineStr">
        <is>
          <t>NIM-1MFT-T1/E1</t>
        </is>
      </c>
      <c r="D2214" s="2" t="inlineStr">
        <is>
          <t>Модуль интерфейсный CISCO 1 port Multiflex Trunk Voice/Clear-channel Data T1/E1 Module for ISR 4000 series </t>
        </is>
      </c>
      <c r="E2214" s="2">
        <v>2</v>
      </c>
      <c r="F2214" s="2">
        <v>2</v>
      </c>
      <c r="H2214" s="2">
        <v>651</v>
      </c>
      <c r="I2214" s="2" t="inlineStr">
        <is>
          <t>$</t>
        </is>
      </c>
      <c r="J2214" s="2">
        <f>HYPERLINK("https://app.astro.lead-studio.pro/product/11ed3d66-fed5-4af7-93f6-ed1a75272ca6")</f>
      </c>
    </row>
    <row r="2215" spans="1:10" customHeight="0">
      <c r="A2215" s="2" t="inlineStr">
        <is>
          <t>Прочее сетевое оборудование</t>
        </is>
      </c>
      <c r="B2215" s="2" t="inlineStr">
        <is>
          <t>CISCO</t>
        </is>
      </c>
      <c r="C2215" s="2" t="inlineStr">
        <is>
          <t>FPR2110-NGFW-K9</t>
        </is>
      </c>
      <c r="D2215" s="2" t="inlineStr">
        <is>
          <t>Межсетевой экран CISCO Firepower 2110 NGFW Appliance Firewall 6G, NGFW 3.4G, IPS Thr 3.5G, 12x 1GbE RJ-45, 4x SFP, 1U, Fixed mount brackets, FPR2120-NGFW-K9</t>
        </is>
      </c>
      <c r="E2215" s="2">
        <v>2</v>
      </c>
      <c r="F2215" s="2">
        <v>2</v>
      </c>
      <c r="H2215" s="2">
        <v>4804</v>
      </c>
      <c r="I2215" s="2" t="inlineStr">
        <is>
          <t>$</t>
        </is>
      </c>
      <c r="J2215" s="2">
        <f>HYPERLINK("https://app.astro.lead-studio.pro/product/1ca617a0-0282-44d6-951c-b6f9e0aa7edd")</f>
      </c>
    </row>
    <row r="2216" spans="1:10" customHeight="0">
      <c r="A2216" s="2" t="inlineStr">
        <is>
          <t>Прочее сетевое оборудование</t>
        </is>
      </c>
      <c r="B2216" s="2" t="inlineStr">
        <is>
          <t>HPE</t>
        </is>
      </c>
      <c r="C2216" s="2" t="inlineStr">
        <is>
          <t>JL083A</t>
        </is>
      </c>
      <c r="D2216" s="2" t="inlineStr">
        <is>
          <t>Модуль Aruba 3810M/2930M 4SFP+ MACsec Module </t>
        </is>
      </c>
      <c r="E2216" s="2">
        <v>1</v>
      </c>
      <c r="F2216" s="2">
        <v>1</v>
      </c>
      <c r="H2216" s="2">
        <v>755</v>
      </c>
      <c r="I2216" s="2" t="inlineStr">
        <is>
          <t>$</t>
        </is>
      </c>
      <c r="J2216" s="2">
        <f>HYPERLINK("https://app.astro.lead-studio.pro/product/ca6a1737-61ba-4062-a5aa-18d3cc9440fe")</f>
      </c>
    </row>
    <row r="2217" spans="1:10" customHeight="0">
      <c r="A2217" s="2" t="inlineStr">
        <is>
          <t>Сетевые карты</t>
        </is>
      </c>
      <c r="B2217" s="2" t="inlineStr">
        <is>
          <t>Lenovo</t>
        </is>
      </c>
      <c r="C2217" s="2" t="inlineStr">
        <is>
          <t>00MM860</t>
        </is>
      </c>
      <c r="D2217" s="2" t="inlineStr">
        <is>
          <t>Сетевой адаптер Lenovo Intel X550-T2 Dual Port 10GBase-T Adapter </t>
        </is>
      </c>
      <c r="E2217" s="2">
        <v>16</v>
      </c>
      <c r="F2217" s="2">
        <v>16</v>
      </c>
      <c r="H2217" s="2">
        <v>360</v>
      </c>
      <c r="I2217" s="2" t="inlineStr">
        <is>
          <t>$</t>
        </is>
      </c>
      <c r="J2217" s="2">
        <f>HYPERLINK("https://app.astro.lead-studio.pro/product/59f67220-ac86-4ab3-83a2-4edc0e881294")</f>
      </c>
    </row>
    <row r="2218" spans="1:10" customHeight="0">
      <c r="A2218" s="2" t="inlineStr">
        <is>
          <t>Сетевые карты</t>
        </is>
      </c>
      <c r="B2218" s="2" t="inlineStr">
        <is>
          <t>Lenovo</t>
        </is>
      </c>
      <c r="C2218" s="2" t="inlineStr">
        <is>
          <t>4XC7A08236</t>
        </is>
      </c>
      <c r="D2218" s="2" t="inlineStr">
        <is>
          <t>Сетевой адаптер Lenovo 4XC7A08236 ThinkSystem Broadcom 57416 10GBASE-T 2-port OCP Ethernet Adapter</t>
        </is>
      </c>
      <c r="E2218" s="2">
        <v>31</v>
      </c>
      <c r="F2218" s="2">
        <v>31</v>
      </c>
      <c r="H2218" s="2">
        <v>322</v>
      </c>
      <c r="I2218" s="2" t="inlineStr">
        <is>
          <t>$</t>
        </is>
      </c>
      <c r="J2218" s="2">
        <f>HYPERLINK("https://app.astro.lead-studio.pro/product/8d667809-a770-4b20-888b-55ca0bc227f8")</f>
      </c>
    </row>
    <row r="2219" spans="1:10" customHeight="0">
      <c r="A2219" s="2" t="inlineStr">
        <is>
          <t>Сетевые карты</t>
        </is>
      </c>
      <c r="B2219" s="2" t="inlineStr">
        <is>
          <t>Lenovo</t>
        </is>
      </c>
      <c r="C2219" s="2" t="inlineStr">
        <is>
          <t>4XC7A08239</t>
        </is>
      </c>
      <c r="D2219" s="2" t="inlineStr">
        <is>
          <t>Сетевой адаптер Lenovo 4XC7A08239 ThinkSystem Broadcom 57416 10GBASE-T 2-port + 5720 1GbE 2-port OCP Ethernet Adapter</t>
        </is>
      </c>
      <c r="E2219" s="2">
        <v>14</v>
      </c>
      <c r="F2219" s="2">
        <v>14</v>
      </c>
      <c r="H2219" s="2">
        <v>395</v>
      </c>
      <c r="I2219" s="2" t="inlineStr">
        <is>
          <t>$</t>
        </is>
      </c>
      <c r="J2219" s="2">
        <f>HYPERLINK("https://app.astro.lead-studio.pro/product/03238dcf-aee4-495a-9918-e2cbf3b7dc22")</f>
      </c>
    </row>
    <row r="2220" spans="1:10" customHeight="0">
      <c r="A2220" s="2" t="inlineStr">
        <is>
          <t>Сетевые карты</t>
        </is>
      </c>
      <c r="B2220" s="2" t="inlineStr">
        <is>
          <t>Lenovo</t>
        </is>
      </c>
      <c r="C2220" s="2" t="inlineStr">
        <is>
          <t>4XC7A08240</t>
        </is>
      </c>
      <c r="D2220" s="2" t="inlineStr">
        <is>
          <t>Сетевой адаптер Lenovo ThinkSystem Broadcom 57454 10GBASE-T 4-port OCP Ethernet Adapter </t>
        </is>
      </c>
      <c r="E2220" s="2">
        <v>15</v>
      </c>
      <c r="F2220" s="2">
        <v>15</v>
      </c>
      <c r="H2220" s="2">
        <v>566</v>
      </c>
      <c r="I2220" s="2" t="inlineStr">
        <is>
          <t>$</t>
        </is>
      </c>
      <c r="J2220" s="2">
        <f>HYPERLINK("https://app.astro.lead-studio.pro/product/857aa84a-3132-4556-88db-4e57cb97256f")</f>
      </c>
    </row>
    <row r="2221" spans="1:10" customHeight="0">
      <c r="A2221" s="2" t="inlineStr">
        <is>
          <t>Сетевые карты</t>
        </is>
      </c>
      <c r="B2221" s="2" t="inlineStr">
        <is>
          <t>Lenovo</t>
        </is>
      </c>
      <c r="C2221" s="2" t="inlineStr">
        <is>
          <t>4XC7A08316</t>
        </is>
      </c>
      <c r="D2221" s="2" t="inlineStr">
        <is>
          <t>Сетевой адаптер Lenovo 4XC7A08316 ThinkSystem Broadcom 57454 10/25GbE SFP28 4-port PCIe Ethernet Adapter V2</t>
        </is>
      </c>
      <c r="E2221" s="2">
        <v>7</v>
      </c>
      <c r="F2221" s="2">
        <v>7</v>
      </c>
      <c r="H2221" s="2">
        <v>453</v>
      </c>
      <c r="I2221" s="2" t="inlineStr">
        <is>
          <t>$</t>
        </is>
      </c>
      <c r="J2221" s="2">
        <f>HYPERLINK("https://app.astro.lead-studio.pro/product/0b0c396a-55be-49ae-b321-1b39ef8c57cf")</f>
      </c>
    </row>
    <row r="2222" spans="1:10" customHeight="0">
      <c r="A2222" s="2" t="inlineStr">
        <is>
          <t>Сетевые карты</t>
        </is>
      </c>
      <c r="B2222" s="2" t="inlineStr">
        <is>
          <t>Lenovo</t>
        </is>
      </c>
      <c r="C2222" s="2" t="inlineStr">
        <is>
          <t>7ZT7A00496</t>
        </is>
      </c>
      <c r="D2222" s="2" t="inlineStr">
        <is>
          <t>Сетевой адаптер Lenovo 7ZT7A00496 ThinkSystem Broadcom NX-E PCIe 10Gb 2-Port Base-T Ethernet Adapter</t>
        </is>
      </c>
      <c r="E2222" s="2">
        <v>13</v>
      </c>
      <c r="F2222" s="2">
        <v>13</v>
      </c>
      <c r="H2222" s="2">
        <v>416</v>
      </c>
      <c r="I2222" s="2" t="inlineStr">
        <is>
          <t>$</t>
        </is>
      </c>
      <c r="J2222" s="2">
        <f>HYPERLINK("https://app.astro.lead-studio.pro/product/b2b0488f-140d-4290-ae56-f4b00e000b83")</f>
      </c>
    </row>
    <row r="2223" spans="1:10" customHeight="0">
      <c r="A2223" s="2" t="inlineStr">
        <is>
          <t>Сетевые карты</t>
        </is>
      </c>
      <c r="B2223" s="2" t="inlineStr">
        <is>
          <t>SuperMicro</t>
        </is>
      </c>
      <c r="C2223" s="2" t="inlineStr">
        <is>
          <t>AOC-2UR68G4-I2XT-O</t>
        </is>
      </c>
      <c r="D2223" s="2" t="inlineStr">
        <is>
          <t>Сетевой адаптер SuperMicro AOC-2UR68G4-I2XT-O adapter</t>
        </is>
      </c>
      <c r="E2223" s="2">
        <v>5</v>
      </c>
      <c r="F2223" s="2">
        <v>5</v>
      </c>
      <c r="H2223" s="2">
        <v>544</v>
      </c>
      <c r="I2223" s="2" t="inlineStr">
        <is>
          <t>$</t>
        </is>
      </c>
      <c r="J2223" s="2">
        <f>HYPERLINK("https://app.astro.lead-studio.pro/product/14ebcf5e-ec6c-4bb5-a85c-2277a18b9fec")</f>
      </c>
    </row>
    <row r="2224" spans="1:10" customHeight="0">
      <c r="A2224" s="2" t="inlineStr">
        <is>
          <t>Сетевые карты</t>
        </is>
      </c>
      <c r="B2224" s="2" t="inlineStr">
        <is>
          <t>SuperMicro</t>
        </is>
      </c>
      <c r="C2224" s="2" t="inlineStr">
        <is>
          <t>AOC-ATG-i2TM</t>
        </is>
      </c>
      <c r="D2224" s="2" t="inlineStr">
        <is>
          <t>Сетевой адаптер SuperMicro AOC-ATG-i2TM</t>
        </is>
      </c>
      <c r="E2224" s="2">
        <v>4</v>
      </c>
      <c r="F2224" s="2">
        <v>4</v>
      </c>
      <c r="H2224" s="2">
        <v>415</v>
      </c>
      <c r="I2224" s="2" t="inlineStr">
        <is>
          <t>$</t>
        </is>
      </c>
      <c r="J2224" s="2">
        <f>HYPERLINK("https://app.astro.lead-studio.pro/product/72dc49d5-3f4d-429f-ac38-a312796f6c77")</f>
      </c>
    </row>
    <row r="2225" spans="1:10" customHeight="0">
      <c r="A2225" s="2" t="inlineStr">
        <is>
          <t>Сетевые карты</t>
        </is>
      </c>
      <c r="B2225" s="2" t="inlineStr">
        <is>
          <t>SuperMicro</t>
        </is>
      </c>
      <c r="C2225" s="2" t="inlineStr">
        <is>
          <t>AOC-CTG-I2T</t>
        </is>
      </c>
      <c r="D2225" s="2" t="inlineStr">
        <is>
          <t>Сетевой адаптер SuperMicro AOC-CTG-I2T Dual RJ45  2U MicroLP Form Factor  PCI-E x8 2.1  (138302)</t>
        </is>
      </c>
      <c r="E2225" s="2">
        <v>1</v>
      </c>
      <c r="F2225" s="2">
        <v>1</v>
      </c>
      <c r="H2225" s="2">
        <v>318</v>
      </c>
      <c r="I2225" s="2" t="inlineStr">
        <is>
          <t>$</t>
        </is>
      </c>
      <c r="J2225" s="2">
        <f>HYPERLINK("https://app.astro.lead-studio.pro/product/dfb44586-b1be-4fc6-b87f-341ba1eaa0ea")</f>
      </c>
    </row>
    <row r="2226" spans="1:10" customHeight="0">
      <c r="A2226" s="2" t="inlineStr">
        <is>
          <t>Сетевые карты</t>
        </is>
      </c>
      <c r="B2226" s="2" t="inlineStr">
        <is>
          <t>SuperMicro</t>
        </is>
      </c>
      <c r="C2226" s="2" t="inlineStr">
        <is>
          <t>AOC-M25G-i2SM</t>
        </is>
      </c>
      <c r="D2226" s="2" t="inlineStr">
        <is>
          <t>Сетевой адаптер SuperMicro AOC-M25G-i2SM SIOM 2-Port 25Gb Ethernet Controller Card</t>
        </is>
      </c>
      <c r="E2226" s="2">
        <v>4</v>
      </c>
      <c r="F2226" s="2">
        <v>4</v>
      </c>
      <c r="H2226" s="2">
        <v>519</v>
      </c>
      <c r="I2226" s="2" t="inlineStr">
        <is>
          <t>$</t>
        </is>
      </c>
      <c r="J2226" s="2">
        <f>HYPERLINK("https://app.astro.lead-studio.pro/product/1393ad76-67cb-4aa0-bff5-e55d03580ad3")</f>
      </c>
    </row>
    <row r="2227" spans="1:10" customHeight="0">
      <c r="A2227" s="2" t="inlineStr">
        <is>
          <t>Сетевые карты</t>
        </is>
      </c>
      <c r="B2227" s="2" t="inlineStr">
        <is>
          <t>SuperMicro</t>
        </is>
      </c>
      <c r="C2227" s="2" t="inlineStr">
        <is>
          <t>AOC-MTGN-i2SM-O</t>
        </is>
      </c>
      <c r="D2227" s="2" t="inlineStr">
        <is>
          <t>Контроллер SuperMicro AOC-MTGN-i2SM-O 2-портовая сетевая карта 10 Гбит/с с адаптером для установки в корпуса U</t>
        </is>
      </c>
      <c r="E2227" s="2">
        <v>1</v>
      </c>
      <c r="F2227" s="2">
        <v>1</v>
      </c>
      <c r="H2227" s="2">
        <v>414</v>
      </c>
      <c r="I2227" s="2" t="inlineStr">
        <is>
          <t>$</t>
        </is>
      </c>
      <c r="J2227" s="2">
        <f>HYPERLINK("https://app.astro.lead-studio.pro/product/afdce813-3360-4787-953c-b3011bc61496")</f>
      </c>
    </row>
    <row r="2228" spans="1:10" customHeight="0">
      <c r="A2228" s="2" t="inlineStr">
        <is>
          <t>Сетевые карты</t>
        </is>
      </c>
      <c r="B2228" s="2" t="inlineStr">
        <is>
          <t>SuperMicro</t>
        </is>
      </c>
      <c r="C2228" s="2" t="inlineStr">
        <is>
          <t>AOC-URG4N4-I2XT-O</t>
        </is>
      </c>
      <c r="D2228" s="2" t="inlineStr">
        <is>
          <t>AOC-URG4N4-I2XT-O Network Ports: 2, Speed: 10GbE, Connectors: 2x RJ45, PCI-E slot: 1x PCI-E 4.0 x16</t>
        </is>
      </c>
      <c r="E2228" s="2">
        <v>5</v>
      </c>
      <c r="F2228" s="2">
        <v>5</v>
      </c>
      <c r="H2228" s="2">
        <v>506</v>
      </c>
      <c r="I2228" s="2" t="inlineStr">
        <is>
          <t>$</t>
        </is>
      </c>
      <c r="J2228" s="2">
        <f>HYPERLINK("https://app.astro.lead-studio.pro/product/ca4388e3-d0aa-47e9-ad56-4c742c14eb33")</f>
      </c>
    </row>
    <row r="2229" spans="1:10" customHeight="0">
      <c r="A2229" s="2" t="inlineStr">
        <is>
          <t>Сетевые карты</t>
        </is>
      </c>
      <c r="B2229" s="2" t="inlineStr">
        <is>
          <t>Broadcom</t>
        </is>
      </c>
      <c r="C2229" s="2" t="inlineStr">
        <is>
          <t>BCM957412N4120C OEM</t>
        </is>
      </c>
      <c r="D2229" s="2" t="inlineStr">
        <is>
          <t>Сетевой адаптер Broadcom NetXtreme N210P (BCM957412N4120C) 2x10G SFP+ OCP 3.0 Generic Mezzanine Ethernet Adapter</t>
        </is>
      </c>
      <c r="E2229" s="2">
        <v>20</v>
      </c>
      <c r="F2229" s="2">
        <v>20</v>
      </c>
      <c r="H2229" s="2">
        <v>790</v>
      </c>
      <c r="I2229" s="2" t="inlineStr">
        <is>
          <t>$</t>
        </is>
      </c>
      <c r="J2229" s="2">
        <f>HYPERLINK("https://app.astro.lead-studio.pro/product/f67e7d49-31f0-4b2d-9dd3-1bd244eb3ac8")</f>
      </c>
    </row>
    <row r="2230" spans="1:10" customHeight="0">
      <c r="A2230" s="2" t="inlineStr">
        <is>
          <t>Сетевые карты</t>
        </is>
      </c>
      <c r="B2230" s="2" t="inlineStr">
        <is>
          <t>Broadcom</t>
        </is>
      </c>
      <c r="C2230" s="2" t="inlineStr">
        <is>
          <t>BCM957414N4140C (Rev.15)</t>
        </is>
      </c>
      <c r="D2230" s="2" t="inlineStr">
        <is>
          <t>Сетевой адаптер Broadcom NetXtreme N225P (BCM957414N4140C Rev.15) 2x25GbE (25/10GbE), PCIe 3.0 x8, SFP28, BCM57414, OCP 3.0, Ethernet Adapter</t>
        </is>
      </c>
      <c r="E2230" s="2">
        <v>9</v>
      </c>
      <c r="F2230" s="2">
        <v>9</v>
      </c>
      <c r="H2230" s="2">
        <v>549</v>
      </c>
      <c r="I2230" s="2" t="inlineStr">
        <is>
          <t>$</t>
        </is>
      </c>
      <c r="J2230" s="2">
        <f>HYPERLINK("https://app.astro.lead-studio.pro/product/43c94c74-6aa8-45d6-9798-754789c57845")</f>
      </c>
    </row>
    <row r="2231" spans="1:10" customHeight="0">
      <c r="A2231" s="2" t="inlineStr">
        <is>
          <t>Сетевые карты</t>
        </is>
      </c>
      <c r="B2231" s="2" t="inlineStr">
        <is>
          <t>Broadcom</t>
        </is>
      </c>
      <c r="C2231" s="2" t="inlineStr">
        <is>
          <t>BCM957414N4140C (Rev.16)</t>
        </is>
      </c>
      <c r="D2231" s="2" t="inlineStr">
        <is>
          <t>Сетевой адаптер Broadcom NetXtreme N225P (BCM957414N4140C) 2x25GbE (25/10GbE), PCIe 3.0 x8, SFP28, BCM57414, OCP 3.0, Ethernet Adapter</t>
        </is>
      </c>
      <c r="E2231" s="2">
        <v>4</v>
      </c>
      <c r="F2231" s="2">
        <v>4</v>
      </c>
      <c r="H2231" s="2">
        <v>400</v>
      </c>
      <c r="I2231" s="2" t="inlineStr">
        <is>
          <t>$</t>
        </is>
      </c>
      <c r="J2231" s="2">
        <f>HYPERLINK("https://app.astro.lead-studio.pro/product/00289eab-3a0b-4708-b5f4-ae5691a53157")</f>
      </c>
    </row>
    <row r="2232" spans="1:10" customHeight="0">
      <c r="A2232" s="2" t="inlineStr">
        <is>
          <t>Сетевые карты</t>
        </is>
      </c>
      <c r="B2232" s="2" t="inlineStr">
        <is>
          <t>Broadcom</t>
        </is>
      </c>
      <c r="C2232" s="2" t="inlineStr">
        <is>
          <t>BCM957414N4140C (TD)</t>
        </is>
      </c>
      <c r="D2232" s="2" t="inlineStr">
        <is>
          <t>Сетевой адаптер Broadcom NetXtreme N225P (BCM957414N4140C) 2x25GbE (25/10GbE), PCIe 3.0 x8, SFP28, BCM57414, OCP 3.0, Ethernet Adapter</t>
        </is>
      </c>
      <c r="E2232" s="2">
        <v>3</v>
      </c>
      <c r="F2232" s="2">
        <v>3</v>
      </c>
      <c r="H2232" s="2">
        <v>395</v>
      </c>
      <c r="I2232" s="2" t="inlineStr">
        <is>
          <t>$</t>
        </is>
      </c>
      <c r="J2232" s="2">
        <f>HYPERLINK("https://app.astro.lead-studio.pro/product/50dbdba8-b061-4d0e-ad8b-949da713a219")</f>
      </c>
    </row>
    <row r="2233" spans="1:10" customHeight="0">
      <c r="A2233" s="2" t="inlineStr">
        <is>
          <t>Сетевые карты</t>
        </is>
      </c>
      <c r="B2233" s="2" t="inlineStr">
        <is>
          <t>Broadcom</t>
        </is>
      </c>
      <c r="C2233" s="2" t="inlineStr">
        <is>
          <t>BCM957416M4163C OEM</t>
        </is>
      </c>
      <c r="D2233" s="2" t="inlineStr">
        <is>
          <t>Сетевой адаптер Broadcom NetXtreme M210tp (BCM957416M4163C) 2x10GBase-T, RJ-45, OCP ( v2.0 Type 1), BCM57416, Mezzanine Ethernet Adapter</t>
        </is>
      </c>
      <c r="E2233" s="2">
        <v>1</v>
      </c>
      <c r="F2233" s="2">
        <v>1</v>
      </c>
      <c r="H2233" s="2">
        <v>668</v>
      </c>
      <c r="I2233" s="2" t="inlineStr">
        <is>
          <t>$</t>
        </is>
      </c>
      <c r="J2233" s="2">
        <f>HYPERLINK("https://app.astro.lead-studio.pro/product/4bdc6c5c-546e-460e-ad40-dff3385c95b8")</f>
      </c>
    </row>
    <row r="2234" spans="1:10" customHeight="0">
      <c r="A2234" s="2" t="inlineStr">
        <is>
          <t>Сетевые карты</t>
        </is>
      </c>
      <c r="B2234" s="2" t="inlineStr">
        <is>
          <t>Broadcom</t>
        </is>
      </c>
      <c r="C2234" s="2" t="inlineStr">
        <is>
          <t>BCM957416N4160C</t>
        </is>
      </c>
      <c r="D2234" s="2" t="inlineStr">
        <is>
          <t>Сетевой адаптер Broadcom NetXtreme N210TP (BCM957416N4160C) 2x10GBASE-T OCP 3.0 Generic Mezzanine Ethernet Adapter</t>
        </is>
      </c>
      <c r="E2234" s="2">
        <v>2</v>
      </c>
      <c r="F2234" s="2">
        <v>2</v>
      </c>
      <c r="H2234" s="2">
        <v>857</v>
      </c>
      <c r="I2234" s="2" t="inlineStr">
        <is>
          <t>$</t>
        </is>
      </c>
      <c r="J2234" s="2">
        <f>HYPERLINK("https://app.astro.lead-studio.pro/product/e29c78b4-022f-41ee-8cb9-7cba7982ec62")</f>
      </c>
    </row>
    <row r="2235" spans="1:10" customHeight="0">
      <c r="A2235" s="2" t="inlineStr">
        <is>
          <t>Сетевые карты</t>
        </is>
      </c>
      <c r="B2235" s="2" t="inlineStr">
        <is>
          <t>Broadcom</t>
        </is>
      </c>
      <c r="C2235" s="2" t="inlineStr">
        <is>
          <t>BCM957416N4160C OEM</t>
        </is>
      </c>
      <c r="D2235" s="2" t="inlineStr">
        <is>
          <t>Сетевой адаптер Broadcom NetXtreme N210TP (BCM957416N4160C) 2x10GBASE-T OCP 3.0 Generic Mezzanine Ethernet Adapter</t>
        </is>
      </c>
      <c r="E2235" s="2">
        <v>5</v>
      </c>
      <c r="F2235" s="2">
        <v>5</v>
      </c>
      <c r="H2235" s="2">
        <v>857</v>
      </c>
      <c r="I2235" s="2" t="inlineStr">
        <is>
          <t>$</t>
        </is>
      </c>
      <c r="J2235" s="2">
        <f>HYPERLINK("https://app.astro.lead-studio.pro/product/0a2a1f89-9239-4b4d-bb16-a2e318c9d77d")</f>
      </c>
    </row>
    <row r="2236" spans="1:10" customHeight="0">
      <c r="A2236" s="2" t="inlineStr">
        <is>
          <t>Сетевые карты</t>
        </is>
      </c>
      <c r="B2236" s="2" t="inlineStr">
        <is>
          <t>Broadcom</t>
        </is>
      </c>
      <c r="C2236" s="2" t="inlineStr">
        <is>
          <t>BCM957454A4540C</t>
        </is>
      </c>
      <c r="D2236" s="2" t="inlineStr">
        <is>
          <t>Сетевой адаптер Broadcom NetXtreme P1100p (BCM957454A4540C) 1x 50/100GbE QSFP28, PCIe 3.0 x16, Ethernet Adapter</t>
        </is>
      </c>
      <c r="E2236" s="2">
        <v>1</v>
      </c>
      <c r="F2236" s="2">
        <v>1</v>
      </c>
      <c r="H2236" s="2">
        <v>473</v>
      </c>
      <c r="I2236" s="2" t="inlineStr">
        <is>
          <t>$</t>
        </is>
      </c>
      <c r="J2236" s="2">
        <f>HYPERLINK("https://app.astro.lead-studio.pro/product/c026bf73-99c1-44e8-994e-876a4a5f6ba9")</f>
      </c>
    </row>
    <row r="2237" spans="1:10" customHeight="0">
      <c r="A2237" s="2" t="inlineStr">
        <is>
          <t>Сетевые карты</t>
        </is>
      </c>
      <c r="B2237" s="2" t="inlineStr">
        <is>
          <t>Broadcom</t>
        </is>
      </c>
      <c r="C2237" s="2" t="inlineStr">
        <is>
          <t>BCM957504-N1100G</t>
        </is>
      </c>
      <c r="D2237" s="2" t="inlineStr">
        <is>
          <t>Сетевой адаптер Broadcom NetXtreme N1100G (BCM957504-N1100G) 1x100GbE (100/50/25/10GbE), PCIe 4.0 x16, QSFP56, BCM57508, OCP 3.0, Ethernet Adapter, OEM {10}</t>
        </is>
      </c>
      <c r="E2237" s="2">
        <v>10</v>
      </c>
      <c r="F2237" s="2">
        <v>10</v>
      </c>
      <c r="H2237" s="2">
        <v>588</v>
      </c>
      <c r="I2237" s="2" t="inlineStr">
        <is>
          <t>$</t>
        </is>
      </c>
      <c r="J2237" s="2">
        <f>HYPERLINK("https://app.astro.lead-studio.pro/product/f5000a08-63fb-43ce-9052-9936d6413ec7")</f>
      </c>
    </row>
    <row r="2238" spans="1:10" customHeight="0">
      <c r="A2238" s="2" t="inlineStr">
        <is>
          <t>Сетевые карты</t>
        </is>
      </c>
      <c r="B2238" s="2" t="inlineStr">
        <is>
          <t>Broadcom</t>
        </is>
      </c>
      <c r="C2238" s="2" t="inlineStr">
        <is>
          <t>BCM957504-P425G</t>
        </is>
      </c>
      <c r="D2238" s="2" t="inlineStr">
        <is>
          <t>Сетевой адаптер Broadcom NetXtreme P425G (BCM957504-P425G) 4x25GbE (25/10GbE), PCIe 4.0 x16, SFP28, BCM57504, Ethernet Adapter</t>
        </is>
      </c>
      <c r="E2238" s="2">
        <v>17</v>
      </c>
      <c r="F2238" s="2">
        <v>17</v>
      </c>
      <c r="H2238" s="2">
        <v>1020</v>
      </c>
      <c r="I2238" s="2" t="inlineStr">
        <is>
          <t>$</t>
        </is>
      </c>
      <c r="J2238" s="2">
        <f>HYPERLINK("https://app.astro.lead-studio.pro/product/65f4ce23-2511-4c5a-8d28-7fccfc0dbe59")</f>
      </c>
    </row>
    <row r="2239" spans="1:10" customHeight="0">
      <c r="A2239" s="2" t="inlineStr">
        <is>
          <t>Сетевые карты</t>
        </is>
      </c>
      <c r="B2239" s="2" t="inlineStr">
        <is>
          <t>Broadcom</t>
        </is>
      </c>
      <c r="C2239" s="2" t="inlineStr">
        <is>
          <t>BCM957504-P425G||bp</t>
        </is>
      </c>
      <c r="D2239" s="2" t="inlineStr">
        <is>
          <t>Сетевой адаптер Broadcom Bad Pack NetXtreme P425G (BCM957504-P425G) 4x25GbE (25/10GbE), PCIe 4.0 x16, SFP28, BCM57504, Ethernet Adapter</t>
        </is>
      </c>
      <c r="E2239" s="2">
        <v>1</v>
      </c>
      <c r="F2239" s="2">
        <v>1</v>
      </c>
      <c r="H2239" s="2">
        <v>939</v>
      </c>
      <c r="I2239" s="2" t="inlineStr">
        <is>
          <t>$</t>
        </is>
      </c>
      <c r="J2239" s="2">
        <f>HYPERLINK("https://app.astro.lead-studio.pro/product/73640cd3-e1c8-4fef-a6c8-31a523750ddc")</f>
      </c>
    </row>
    <row r="2240" spans="1:10" customHeight="0">
      <c r="A2240" s="2" t="inlineStr">
        <is>
          <t>Сетевые карты</t>
        </is>
      </c>
      <c r="B2240" s="2" t="inlineStr">
        <is>
          <t>Broadcom</t>
        </is>
      </c>
      <c r="C2240" s="2" t="inlineStr">
        <is>
          <t>BCM957508-P2100G OEM</t>
        </is>
      </c>
      <c r="D2240" s="2" t="inlineStr">
        <is>
          <t>Сетевой адаптер Broadcom NetXtreme P2100G (BCM957508-P2100G) 2x100GbE (100/50/25/10GbE), PCIe 4.0 x16, QSFP56, BCM57508, Ethernet Adapter</t>
        </is>
      </c>
      <c r="E2240" s="2">
        <v>15</v>
      </c>
      <c r="F2240" s="2">
        <v>15</v>
      </c>
      <c r="H2240" s="2">
        <v>796</v>
      </c>
      <c r="I2240" s="2" t="inlineStr">
        <is>
          <t>$</t>
        </is>
      </c>
      <c r="J2240" s="2">
        <f>HYPERLINK("https://app.astro.lead-studio.pro/product/a31dd7cb-fb4e-4e51-817b-991b2b792999")</f>
      </c>
    </row>
    <row r="2241" spans="1:10" customHeight="0">
      <c r="A2241" s="2" t="inlineStr">
        <is>
          <t>Сетевые карты</t>
        </is>
      </c>
      <c r="B2241" s="2" t="inlineStr">
        <is>
          <t>D-Link</t>
        </is>
      </c>
      <c r="C2241" s="2" t="inlineStr">
        <is>
          <t>DGE-560SX/10/D1A</t>
        </is>
      </c>
      <c r="D2241" s="2" t="inlineStr">
        <is>
          <t>Сетевой адаптер D-Link DGE-560SX/10/D1A Сетевой PCI Express адаптер с 1 портом 1000Base-X SFP (Упаковка из 10 штук DGE-560SX/D1A) (454196) {40}</t>
        </is>
      </c>
      <c r="E2241" s="2">
        <v>13</v>
      </c>
      <c r="F2241" s="2">
        <v>13</v>
      </c>
      <c r="H2241" s="2">
        <v>874</v>
      </c>
      <c r="I2241" s="2" t="inlineStr">
        <is>
          <t>$</t>
        </is>
      </c>
      <c r="J2241" s="2">
        <f>HYPERLINK("https://app.astro.lead-studio.pro/product/08a9ba0c-4a4b-4b3f-a645-42c539864b10")</f>
      </c>
    </row>
    <row r="2242" spans="1:10" customHeight="0">
      <c r="A2242" s="2" t="inlineStr">
        <is>
          <t>Сетевые карты</t>
        </is>
      </c>
      <c r="B2242" s="2" t="inlineStr">
        <is>
          <t>Intel</t>
        </is>
      </c>
      <c r="C2242" s="2" t="inlineStr">
        <is>
          <t>E810XXVDA2BLK</t>
        </is>
      </c>
      <c r="D2242" s="2" t="inlineStr">
        <is>
          <t>Сетевой адаптер Intel Intel Ethernet Network Adapter E810-XXVDA2 2xSFP28 ports, 25GbE, PCI-E x8 gen3/gen4, iWARP/RoCEv2, IEEE 1588 PTP, ADQ, iSCSI, NFS, VMDq. PCI-SIG SR-IOV Capable</t>
        </is>
      </c>
      <c r="E2242" s="2">
        <v>2</v>
      </c>
      <c r="F2242" s="2">
        <v>2</v>
      </c>
      <c r="H2242" s="2">
        <v>448</v>
      </c>
      <c r="I2242" s="2" t="inlineStr">
        <is>
          <t>$</t>
        </is>
      </c>
      <c r="J2242" s="2">
        <f>HYPERLINK("https://app.astro.lead-studio.pro/product/80a3a42e-9e8a-416b-a21b-aeb884e146b9")</f>
      </c>
    </row>
    <row r="2243" spans="1:10" customHeight="0">
      <c r="A2243" s="2" t="inlineStr">
        <is>
          <t>Сетевые карты</t>
        </is>
      </c>
      <c r="B2243" s="2" t="inlineStr">
        <is>
          <t>FIBO</t>
        </is>
      </c>
      <c r="C2243" s="2" t="inlineStr">
        <is>
          <t>FT-N10-IP34SFP+</t>
        </is>
      </c>
      <c r="D2243" s="2" t="inlineStr">
        <is>
          <t>Сетевой адаптер FIBO FT-N10-IP34SFP+    PCIe 3.0, 4*SFP+ порта 10G, Intel XL710 </t>
        </is>
      </c>
      <c r="E2243" s="2">
        <v>1</v>
      </c>
      <c r="F2243" s="2">
        <v>1</v>
      </c>
      <c r="H2243" s="2">
        <v>519</v>
      </c>
      <c r="I2243" s="2" t="inlineStr">
        <is>
          <t>$</t>
        </is>
      </c>
      <c r="J2243" s="2">
        <f>HYPERLINK("https://app.astro.lead-studio.pro/product/b34dfc48-0e66-412b-b5a4-5e2620960f9e")</f>
      </c>
    </row>
    <row r="2244" spans="1:10" customHeight="0">
      <c r="A2244" s="2" t="inlineStr">
        <is>
          <t>Сетевые карты</t>
        </is>
      </c>
      <c r="B2244" s="2" t="inlineStr">
        <is>
          <t>Intel</t>
        </is>
      </c>
      <c r="C2244" s="2" t="inlineStr">
        <is>
          <t>IQA89601G3P5</t>
        </is>
      </c>
      <c r="D2244" s="2" t="inlineStr">
        <is>
          <t>Адаптер Intel QuickAssist Adapter 8960 IQA89601G3P5</t>
        </is>
      </c>
      <c r="E2244" s="2">
        <v>2</v>
      </c>
      <c r="F2244" s="2">
        <v>2</v>
      </c>
      <c r="H2244" s="2">
        <v>1137</v>
      </c>
      <c r="I2244" s="2" t="inlineStr">
        <is>
          <t>$</t>
        </is>
      </c>
      <c r="J2244" s="2">
        <f>HYPERLINK("https://app.astro.lead-studio.pro/product/90f06fc1-b6f5-42ec-8fb5-916452e5bdcc")</f>
      </c>
    </row>
    <row r="2245" spans="1:10" customHeight="0">
      <c r="A2245" s="2" t="inlineStr">
        <is>
          <t>Сетевые карты</t>
        </is>
      </c>
      <c r="B2245" s="2" t="inlineStr">
        <is>
          <t>Emulex</t>
        </is>
      </c>
      <c r="C2245" s="2" t="inlineStr">
        <is>
          <t>LPE31000-M6</t>
        </is>
      </c>
      <c r="D2245" s="2" t="inlineStr">
        <is>
          <t>Сетевой адаптер Broadcom Emulex LPe31000-M6 Gen 6 (16GFC), 1-port, 16Gb/s, PCIe Gen3 x8, LC MMF 100m, трансивер установлен, Upgradable to 32GFC (011313)</t>
        </is>
      </c>
      <c r="E2245" s="2">
        <v>1</v>
      </c>
      <c r="F2245" s="2">
        <v>1</v>
      </c>
      <c r="H2245" s="2">
        <v>736</v>
      </c>
      <c r="I2245" s="2" t="inlineStr">
        <is>
          <t>$</t>
        </is>
      </c>
      <c r="J2245" s="2">
        <f>HYPERLINK("https://app.astro.lead-studio.pro/product/b27346fc-2c47-4a12-9282-c95b3459b365")</f>
      </c>
    </row>
    <row r="2246" spans="1:10" customHeight="0">
      <c r="A2246" s="2" t="inlineStr">
        <is>
          <t>Сетевые карты</t>
        </is>
      </c>
      <c r="B2246" s="2" t="inlineStr">
        <is>
          <t>Emulex</t>
        </is>
      </c>
      <c r="C2246" s="2" t="inlineStr">
        <is>
          <t>LPE31002-AP</t>
        </is>
      </c>
      <c r="D2246" s="2" t="inlineStr">
        <is>
          <t>Сетевой адаптер Broadcom Emulex LPe31002-AP (LPe31002-M6) Gen 6 (16GFC), 2-port, 16Gb/s, PCIe Gen3 x8, LC MMF 100m, трансиверы установлены {5}</t>
        </is>
      </c>
      <c r="E2246" s="2">
        <v>20</v>
      </c>
      <c r="F2246" s="2">
        <v>20</v>
      </c>
      <c r="H2246" s="2">
        <v>567</v>
      </c>
      <c r="I2246" s="2" t="inlineStr">
        <is>
          <t>$</t>
        </is>
      </c>
      <c r="J2246" s="2">
        <f>HYPERLINK("https://app.astro.lead-studio.pro/product/2175fc6c-3910-4a48-9d94-87b73c6ab8eb")</f>
      </c>
    </row>
    <row r="2247" spans="1:10" customHeight="0">
      <c r="A2247" s="2" t="inlineStr">
        <is>
          <t>Сетевые карты</t>
        </is>
      </c>
      <c r="B2247" s="2" t="inlineStr">
        <is>
          <t>Emulex</t>
        </is>
      </c>
      <c r="C2247" s="2" t="inlineStr">
        <is>
          <t>LPE31002-M6</t>
        </is>
      </c>
      <c r="D2247" s="2" t="inlineStr">
        <is>
          <t>Сетевой адаптер Broadcom Emulex LPe31002-M6 Gen 6 (16GFC), 2-port, 16Gb/s, PCIe Gen3 x8, LC MMF 100m, трансиверы установлены, Upgradable to 32GFC (011351) (LPE31002-M6)</t>
        </is>
      </c>
      <c r="E2247" s="2">
        <v>6</v>
      </c>
      <c r="F2247" s="2">
        <v>6</v>
      </c>
      <c r="H2247" s="2">
        <v>884</v>
      </c>
      <c r="I2247" s="2" t="inlineStr">
        <is>
          <t>$</t>
        </is>
      </c>
      <c r="J2247" s="2">
        <f>HYPERLINK("https://app.astro.lead-studio.pro/product/947c829d-b850-48ba-9d6f-4f9d4141d8a2")</f>
      </c>
    </row>
    <row r="2248" spans="1:10" customHeight="0">
      <c r="A2248" s="2" t="inlineStr">
        <is>
          <t>Сетевые карты</t>
        </is>
      </c>
      <c r="B2248" s="2" t="inlineStr">
        <is>
          <t>Emulex</t>
        </is>
      </c>
      <c r="C2248" s="2" t="inlineStr">
        <is>
          <t>LPE31004-M6 IBM</t>
        </is>
      </c>
      <c r="D2248" s="2" t="inlineStr">
        <is>
          <t>Сетевой адаптер Broadcom Emulex LPe31004-M6 Gen 6 (16GFC), 4-port, 16Gb/s, PCIe Gen3 x8, LC MMF 100m, трансиверы установлены. Not upgradable to 32GFC (011377) {5}</t>
        </is>
      </c>
      <c r="E2248" s="2">
        <v>20</v>
      </c>
      <c r="F2248" s="2">
        <v>20</v>
      </c>
      <c r="H2248" s="2">
        <v>1022</v>
      </c>
      <c r="I2248" s="2" t="inlineStr">
        <is>
          <t>$</t>
        </is>
      </c>
      <c r="J2248" s="2">
        <f>HYPERLINK("https://app.astro.lead-studio.pro/product/a6c58a9e-4725-4964-b4ef-7f3ff584a6a6")</f>
      </c>
    </row>
    <row r="2249" spans="1:10" customHeight="0">
      <c r="A2249" s="2" t="inlineStr">
        <is>
          <t>Сетевые карты</t>
        </is>
      </c>
      <c r="B2249" s="2" t="inlineStr">
        <is>
          <t>Emulex</t>
        </is>
      </c>
      <c r="C2249" s="2" t="inlineStr">
        <is>
          <t>LPE32000-M2</t>
        </is>
      </c>
      <c r="D2249" s="2" t="inlineStr">
        <is>
          <t>Сетевой адаптер Broadcom Emulex LPe32000-M2 Gen 6 (32GFC), 1-port, 32Gb/s, PCIe Gen3 x8, LC MMF 100m, трансивер установлен (011320)</t>
        </is>
      </c>
      <c r="E2249" s="2">
        <v>1</v>
      </c>
      <c r="F2249" s="2">
        <v>1</v>
      </c>
      <c r="H2249" s="2">
        <v>686</v>
      </c>
      <c r="I2249" s="2" t="inlineStr">
        <is>
          <t>$</t>
        </is>
      </c>
      <c r="J2249" s="2">
        <f>HYPERLINK("https://app.astro.lead-studio.pro/product/400c76ef-7da6-4761-9115-88824a7feb39")</f>
      </c>
    </row>
    <row r="2250" spans="1:10" customHeight="0">
      <c r="A2250" s="2" t="inlineStr">
        <is>
          <t>Сетевые карты</t>
        </is>
      </c>
      <c r="B2250" s="2" t="inlineStr">
        <is>
          <t>Emulex</t>
        </is>
      </c>
      <c r="C2250" s="2" t="inlineStr">
        <is>
          <t>LPE32002-M2</t>
        </is>
      </c>
      <c r="D2250" s="2" t="inlineStr">
        <is>
          <t>Сетевой адаптер Broadcom Emulex LPe32002-M2 Gen 6 (32GFC), 2-port, 32Gb/s, PCIe Gen3 x8, LC MMF 100m, трансиверы установлены {5} (011368) (011412)</t>
        </is>
      </c>
      <c r="E2250" s="2">
        <v>20</v>
      </c>
      <c r="F2250" s="2">
        <v>20</v>
      </c>
      <c r="H2250" s="2">
        <v>758</v>
      </c>
      <c r="I2250" s="2" t="inlineStr">
        <is>
          <t>$</t>
        </is>
      </c>
      <c r="J2250" s="2">
        <f>HYPERLINK("https://app.astro.lead-studio.pro/product/3bd742f7-9126-4eb0-93e5-ee71ce36f706")</f>
      </c>
    </row>
    <row r="2251" spans="1:10" customHeight="0">
      <c r="A2251" s="2" t="inlineStr">
        <is>
          <t>Сетевые карты</t>
        </is>
      </c>
      <c r="B2251" s="2" t="inlineStr">
        <is>
          <t>Emulex</t>
        </is>
      </c>
      <c r="C2251" s="2" t="inlineStr">
        <is>
          <t>LPE32002-M2||bp</t>
        </is>
      </c>
      <c r="D2251" s="2" t="inlineStr">
        <is>
          <t>Сетевой адаптер Emulex Bad Pack LPe32002-M2 Gen 6 (32GFC), 2-port, 32Gb/s, PCIe Gen3 x8, LC MMF 100m,трансиверы установлены {5} (011368) (011412) bp</t>
        </is>
      </c>
      <c r="E2251" s="2">
        <v>1</v>
      </c>
      <c r="F2251" s="2">
        <v>1</v>
      </c>
      <c r="H2251" s="2">
        <v>729</v>
      </c>
      <c r="I2251" s="2" t="inlineStr">
        <is>
          <t>$</t>
        </is>
      </c>
      <c r="J2251" s="2">
        <f>HYPERLINK("https://app.astro.lead-studio.pro/product/7a3849d8-6d39-4afb-b24a-9c5243a312a3")</f>
      </c>
    </row>
    <row r="2252" spans="1:10" customHeight="0">
      <c r="A2252" s="2" t="inlineStr">
        <is>
          <t>Сетевые карты</t>
        </is>
      </c>
      <c r="B2252" s="2" t="inlineStr">
        <is>
          <t>Emulex</t>
        </is>
      </c>
      <c r="C2252" s="2" t="inlineStr">
        <is>
          <t>LPE35002-M2</t>
        </is>
      </c>
      <c r="D2252" s="2" t="inlineStr">
        <is>
          <t>Сетевой адаптер Broadcom Emulex LPe35002-M2 Gen 7 (32GFC), 2-port, 32Gb/s, PCIe Gen4 x8, LC MMF 100m, трансиверы установлены, Upgradable to 64G {5}</t>
        </is>
      </c>
      <c r="E2252" s="2">
        <v>7</v>
      </c>
      <c r="F2252" s="2">
        <v>7</v>
      </c>
      <c r="H2252" s="2">
        <v>1767</v>
      </c>
      <c r="I2252" s="2" t="inlineStr">
        <is>
          <t>$</t>
        </is>
      </c>
      <c r="J2252" s="2">
        <f>HYPERLINK("https://app.astro.lead-studio.pro/product/9850d78c-c682-451f-820a-d9af343ca818")</f>
      </c>
    </row>
    <row r="2253" spans="1:10" customHeight="0">
      <c r="A2253" s="2" t="inlineStr">
        <is>
          <t>Сетевые карты</t>
        </is>
      </c>
      <c r="B2253" s="2" t="inlineStr">
        <is>
          <t>Emulex</t>
        </is>
      </c>
      <c r="C2253" s="2" t="inlineStr">
        <is>
          <t>LPE35004-S3</t>
        </is>
      </c>
      <c r="D2253" s="2" t="inlineStr">
        <is>
          <t>Сетевой адаптер Emulex LPe35004-S3 (LPe35004-M2) Gen 7 (32GFC), 4-port, 32Gb/s, PCIe Gen3 x16, LC MMF 100m, трансиверы установлены, Not upgradable to 64G, {5}</t>
        </is>
      </c>
      <c r="E2253" s="2">
        <v>10</v>
      </c>
      <c r="F2253" s="2">
        <v>10</v>
      </c>
      <c r="H2253" s="2">
        <v>3902</v>
      </c>
      <c r="I2253" s="2" t="inlineStr">
        <is>
          <t>$</t>
        </is>
      </c>
      <c r="J2253" s="2">
        <f>HYPERLINK("https://app.astro.lead-studio.pro/product/25fbd23b-254a-4cd4-8a29-4ca9e5ed2745")</f>
      </c>
    </row>
    <row r="2254" spans="1:10" customHeight="0">
      <c r="A2254" s="2" t="inlineStr">
        <is>
          <t>Сетевые карты</t>
        </is>
      </c>
      <c r="B2254" s="2" t="inlineStr">
        <is>
          <t>Lr-Link</t>
        </is>
      </c>
      <c r="C2254" s="2" t="inlineStr">
        <is>
          <t>LRES1023PF-4SFP28</t>
        </is>
      </c>
      <c r="D2254" s="2" t="inlineStr">
        <is>
          <t>Сетевой адаптер Lr-Link LRES1023PF-4SFP28 PCIe 4.0 x16, Intel E810, 4*SFP28 10/25G NIC Card (303738)</t>
        </is>
      </c>
      <c r="E2254" s="2">
        <v>5</v>
      </c>
      <c r="F2254" s="2">
        <v>5</v>
      </c>
      <c r="H2254" s="2">
        <v>418</v>
      </c>
      <c r="I2254" s="2" t="inlineStr">
        <is>
          <t>$</t>
        </is>
      </c>
      <c r="J2254" s="2">
        <f>HYPERLINK("https://app.astro.lead-studio.pro/product/f67f51bb-a586-48af-9d31-19c90561bc42")</f>
      </c>
    </row>
    <row r="2255" spans="1:10" customHeight="0">
      <c r="A2255" s="2" t="inlineStr">
        <is>
          <t>Сетевые карты</t>
        </is>
      </c>
      <c r="B2255" s="2" t="inlineStr">
        <is>
          <t>Lr-Link</t>
        </is>
      </c>
      <c r="C2255" s="2" t="inlineStr">
        <is>
          <t>LRES1024PF-4SFP+</t>
        </is>
      </c>
      <c r="D2255" s="2" t="inlineStr">
        <is>
          <t>Сетевой адаптер Lr-Link LRES1024PF-4SFP+ PCIe v3.0 x8 4*SFP+ 10G NIC Card на базе Intel 82599</t>
        </is>
      </c>
      <c r="E2255" s="2">
        <v>5</v>
      </c>
      <c r="F2255" s="2">
        <v>5</v>
      </c>
      <c r="H2255" s="2">
        <v>346</v>
      </c>
      <c r="I2255" s="2" t="inlineStr">
        <is>
          <t>$</t>
        </is>
      </c>
      <c r="J2255" s="2">
        <f>HYPERLINK("https://app.astro.lead-studio.pro/product/ab9bb9e0-4bc4-4f7e-a8e8-6a22e0f9cb5d")</f>
      </c>
    </row>
    <row r="2256" spans="1:10" customHeight="0">
      <c r="A2256" s="2" t="inlineStr">
        <is>
          <t>Сетевые карты</t>
        </is>
      </c>
      <c r="B2256" s="2" t="inlineStr">
        <is>
          <t>Lr-Link</t>
        </is>
      </c>
      <c r="C2256" s="2" t="inlineStr">
        <is>
          <t>LRES2008PT</t>
        </is>
      </c>
      <c r="D2256" s="2" t="inlineStr">
        <is>
          <t>Сетевой адаптер Lr-Link LRES2008PT PCIe 2.1 x4, Intel i350, 8*RJ45 1G NIC Card, Dual Slot (302359)</t>
        </is>
      </c>
      <c r="E2256" s="2">
        <v>5</v>
      </c>
      <c r="F2256" s="2">
        <v>5</v>
      </c>
      <c r="H2256" s="2">
        <v>533</v>
      </c>
      <c r="I2256" s="2" t="inlineStr">
        <is>
          <t>$</t>
        </is>
      </c>
      <c r="J2256" s="2">
        <f>HYPERLINK("https://app.astro.lead-studio.pro/product/d561cb3d-7fff-4d8c-bce2-1182a05695a4")</f>
      </c>
    </row>
    <row r="2257" spans="1:10" customHeight="0">
      <c r="A2257" s="2" t="inlineStr">
        <is>
          <t>Сетевые карты</t>
        </is>
      </c>
      <c r="B2257" s="2" t="inlineStr">
        <is>
          <t>Lr-Link</t>
        </is>
      </c>
      <c r="C2257" s="2" t="inlineStr">
        <is>
          <t>LRES3026PF-OCP</t>
        </is>
      </c>
      <c r="D2257" s="2" t="inlineStr">
        <is>
          <t>Сетевой адаптер Lr-Link LRES3026PF-OCP OCP 3.0 (PCIe 4.0 x16), Intel E810, 2*QSFP28 100G NIC Card</t>
        </is>
      </c>
      <c r="E2257" s="2">
        <v>5</v>
      </c>
      <c r="F2257" s="2">
        <v>5</v>
      </c>
      <c r="H2257" s="2">
        <v>497</v>
      </c>
      <c r="I2257" s="2" t="inlineStr">
        <is>
          <t>$</t>
        </is>
      </c>
      <c r="J2257" s="2">
        <f>HYPERLINK("https://app.astro.lead-studio.pro/product/a7031218-f693-4c03-a7d1-dd82d7fd5cce")</f>
      </c>
    </row>
    <row r="2258" spans="1:10" customHeight="0">
      <c r="A2258" s="2" t="inlineStr">
        <is>
          <t>Сетевые карты</t>
        </is>
      </c>
      <c r="B2258" s="2" t="inlineStr">
        <is>
          <t>Mellanox</t>
        </is>
      </c>
      <c r="C2258" s="2" t="inlineStr">
        <is>
          <t>MCX515A-CCAT</t>
        </is>
      </c>
      <c r="D2258" s="2" t="inlineStr">
        <is>
          <t>Сетевой адаптер Mellanox MCX515A-CCAT ConnectX-5 EN network interface card, 100GbE single-port QSFP28, PCIe3.0 x16, tall bracket, RTL {20} (480375)</t>
        </is>
      </c>
      <c r="E2258" s="2">
        <v>10</v>
      </c>
      <c r="F2258" s="2">
        <v>10</v>
      </c>
      <c r="H2258" s="2">
        <v>526</v>
      </c>
      <c r="I2258" s="2" t="inlineStr">
        <is>
          <t>$</t>
        </is>
      </c>
      <c r="J2258" s="2">
        <f>HYPERLINK("https://app.astro.lead-studio.pro/product/233e81e6-3da3-41fe-9640-df31616378e5")</f>
      </c>
    </row>
    <row r="2259" spans="1:10" customHeight="0">
      <c r="A2259" s="2" t="inlineStr">
        <is>
          <t>Сетевые карты</t>
        </is>
      </c>
      <c r="B2259" s="2" t="inlineStr">
        <is>
          <t>Mellanox</t>
        </is>
      </c>
      <c r="C2259" s="2" t="inlineStr">
        <is>
          <t>MCX516A-CCAT</t>
        </is>
      </c>
      <c r="D2259" s="2" t="inlineStr">
        <is>
          <t>Сетевой адаптер Mellanox MCX516A-CCAT ConnectX-5 EN Network Interface Card 100 GbE Dual-Port QSFP28 PCIe3.0 x16 Tall Bracket ROHS R6, RTL {20} (480382)</t>
        </is>
      </c>
      <c r="E2259" s="2">
        <v>10</v>
      </c>
      <c r="F2259" s="2">
        <v>10</v>
      </c>
      <c r="H2259" s="2">
        <v>652</v>
      </c>
      <c r="I2259" s="2" t="inlineStr">
        <is>
          <t>$</t>
        </is>
      </c>
      <c r="J2259" s="2">
        <f>HYPERLINK("https://app.astro.lead-studio.pro/product/dca724b1-2ae0-4345-9679-97457f646680")</f>
      </c>
    </row>
    <row r="2260" spans="1:10" customHeight="0">
      <c r="A2260" s="2" t="inlineStr">
        <is>
          <t>Сетевые карты</t>
        </is>
      </c>
      <c r="B2260" s="2" t="inlineStr">
        <is>
          <t>Mellanox</t>
        </is>
      </c>
      <c r="C2260" s="2" t="inlineStr">
        <is>
          <t>MCX516A-CDAT</t>
        </is>
      </c>
      <c r="D2260" s="2" t="inlineStr">
        <is>
          <t>Сетевой адаптер Mellanox MCX516A-CDAT ConnectX-5 EN Network Interface Card 100 GbE Dual-Port QSFP28 PCIe4.0 x16 Tall Bracket ROHS R6 (480399) {20}</t>
        </is>
      </c>
      <c r="E2260" s="2">
        <v>10</v>
      </c>
      <c r="F2260" s="2">
        <v>10</v>
      </c>
      <c r="H2260" s="2">
        <v>932</v>
      </c>
      <c r="I2260" s="2" t="inlineStr">
        <is>
          <t>$</t>
        </is>
      </c>
      <c r="J2260" s="2">
        <f>HYPERLINK("https://app.astro.lead-studio.pro/product/5c2f58a5-f0d7-4788-80e1-c623770ce2c8")</f>
      </c>
    </row>
    <row r="2261" spans="1:10" customHeight="0">
      <c r="A2261" s="2" t="inlineStr">
        <is>
          <t>Сетевые карты</t>
        </is>
      </c>
      <c r="B2261" s="2" t="inlineStr">
        <is>
          <t>Mellanox</t>
        </is>
      </c>
      <c r="C2261" s="2" t="inlineStr">
        <is>
          <t>MCX516A-CDAT||bp</t>
        </is>
      </c>
      <c r="D2261" s="2" t="inlineStr">
        <is>
          <t>Сетевой адаптер Mellanox MCX516A-CDAT ConnectX-5 EN Network Interface Card 100 GbE Dual-Port QSFP28 PCIe4.0 x16 Tall Bracket ROHS R6 (480399) {20}</t>
        </is>
      </c>
      <c r="E2261" s="2">
        <v>1</v>
      </c>
      <c r="F2261" s="2">
        <v>1</v>
      </c>
      <c r="H2261" s="2">
        <v>953</v>
      </c>
      <c r="I2261" s="2" t="inlineStr">
        <is>
          <t>$</t>
        </is>
      </c>
      <c r="J2261" s="2">
        <f>HYPERLINK("https://app.astro.lead-studio.pro/product/ee245760-a5b0-48f4-bcf9-dadc768f492c")</f>
      </c>
    </row>
    <row r="2262" spans="1:10" customHeight="0">
      <c r="A2262" s="2" t="inlineStr">
        <is>
          <t>Сетевые карты</t>
        </is>
      </c>
      <c r="B2262" s="2" t="inlineStr">
        <is>
          <t>Mellanox</t>
        </is>
      </c>
      <c r="C2262" s="2" t="inlineStr">
        <is>
          <t>MCX516A-GCAT</t>
        </is>
      </c>
      <c r="D2262" s="2" t="inlineStr">
        <is>
          <t>Сетевой адаптер Mellanox MCX516A-GCAT ConnectX-5 EN network interface card, 50GbE dual-port QSFP28, PCIe3.0 x16, tall bracket, ROHS R6 (385170)</t>
        </is>
      </c>
      <c r="E2262" s="2">
        <v>1</v>
      </c>
      <c r="F2262" s="2">
        <v>1</v>
      </c>
      <c r="H2262" s="2">
        <v>855</v>
      </c>
      <c r="I2262" s="2" t="inlineStr">
        <is>
          <t>$</t>
        </is>
      </c>
      <c r="J2262" s="2">
        <f>HYPERLINK("https://app.astro.lead-studio.pro/product/2381568f-6642-4d67-806c-7c0c3667d8b1")</f>
      </c>
    </row>
    <row r="2263" spans="1:10" customHeight="0">
      <c r="A2263" s="2" t="inlineStr">
        <is>
          <t>Сетевые карты</t>
        </is>
      </c>
      <c r="B2263" s="2" t="inlineStr">
        <is>
          <t>Mellanox</t>
        </is>
      </c>
      <c r="C2263" s="2" t="inlineStr">
        <is>
          <t>MCX555A-ECAT</t>
        </is>
      </c>
      <c r="D2263" s="2" t="inlineStr">
        <is>
          <t>Сетевой адаптер Mellanox MCX555A-ECAT ConnectX-5 VPI adapter card, EDR IB (100Gb/s) and 100GbE, single-port QSFP28, PCIe3.0 x16, tall bracket, ROHS R6, (480313)</t>
        </is>
      </c>
      <c r="E2263" s="2">
        <v>1</v>
      </c>
      <c r="F2263" s="2">
        <v>1</v>
      </c>
      <c r="H2263" s="2">
        <v>776</v>
      </c>
      <c r="I2263" s="2" t="inlineStr">
        <is>
          <t>$</t>
        </is>
      </c>
      <c r="J2263" s="2">
        <f>HYPERLINK("https://app.astro.lead-studio.pro/product/e895c260-77d7-43ed-afc6-9a11c5d1b105")</f>
      </c>
    </row>
    <row r="2264" spans="1:10" customHeight="0">
      <c r="A2264" s="2" t="inlineStr">
        <is>
          <t>Сетевые карты</t>
        </is>
      </c>
      <c r="B2264" s="2" t="inlineStr">
        <is>
          <t>Mellanox</t>
        </is>
      </c>
      <c r="C2264" s="2" t="inlineStr">
        <is>
          <t>MCX556A-EDAT</t>
        </is>
      </c>
      <c r="D2264" s="2" t="inlineStr">
        <is>
          <t>Сетевой адаптер Mellanox MCX556A-EDAT ConnectX-5 Ex VPI Adapter Card EDR IB and 100GbE Dual-Port QSFP28 PCIe4.0 x16 Tall Bracket (480306)</t>
        </is>
      </c>
      <c r="E2264" s="2">
        <v>10</v>
      </c>
      <c r="F2264" s="2">
        <v>10</v>
      </c>
      <c r="H2264" s="2">
        <v>1230</v>
      </c>
      <c r="I2264" s="2" t="inlineStr">
        <is>
          <t>$</t>
        </is>
      </c>
      <c r="J2264" s="2">
        <f>HYPERLINK("https://app.astro.lead-studio.pro/product/0ebc5e54-3072-4519-8f20-77769ee93e47")</f>
      </c>
    </row>
    <row r="2265" spans="1:10" customHeight="0">
      <c r="A2265" s="2" t="inlineStr">
        <is>
          <t>Сетевые карты</t>
        </is>
      </c>
      <c r="B2265" s="2" t="inlineStr">
        <is>
          <t>Mellanox</t>
        </is>
      </c>
      <c r="C2265" s="2" t="inlineStr">
        <is>
          <t>MCX653105A-ECAT</t>
        </is>
      </c>
      <c r="D2265" s="2" t="inlineStr">
        <is>
          <t>Сетевой адаптер Mellanox MCX653105A-ECAT ConnectX-6 VPI adapter card, 100Gb/s (HDR100, EDR IB and 100GbE), single-port QSFP56, PCIe3.0/4.0 x16, tall bracket (488463)</t>
        </is>
      </c>
      <c r="E2265" s="2">
        <v>8</v>
      </c>
      <c r="F2265" s="2">
        <v>8</v>
      </c>
      <c r="H2265" s="2">
        <v>659</v>
      </c>
      <c r="I2265" s="2" t="inlineStr">
        <is>
          <t>$</t>
        </is>
      </c>
      <c r="J2265" s="2">
        <f>HYPERLINK("https://app.astro.lead-studio.pro/product/10e94287-feeb-4eae-8d4b-df2281da9880")</f>
      </c>
    </row>
    <row r="2266" spans="1:10" customHeight="0">
      <c r="A2266" s="2" t="inlineStr">
        <is>
          <t>Сетевые карты</t>
        </is>
      </c>
      <c r="B2266" s="2" t="inlineStr">
        <is>
          <t>Mellanox</t>
        </is>
      </c>
      <c r="C2266" s="2" t="inlineStr">
        <is>
          <t>MCX653106A-HDAT</t>
        </is>
      </c>
      <c r="D2266" s="2" t="inlineStr">
        <is>
          <t>Сетевой адаптер Mellanox MCX653106A-HDAT ConnectX-6 VPI adapter card, HDR IB (200Gb/s) and 200GbE, dual-port QSFP56, PCIe4.0 x16, tall bracket (488494)/(482665)</t>
        </is>
      </c>
      <c r="E2266" s="2">
        <v>9</v>
      </c>
      <c r="F2266" s="2">
        <v>9</v>
      </c>
      <c r="H2266" s="2">
        <v>1927</v>
      </c>
      <c r="I2266" s="2" t="inlineStr">
        <is>
          <t>$</t>
        </is>
      </c>
      <c r="J2266" s="2">
        <f>HYPERLINK("https://app.astro.lead-studio.pro/product/321ab97a-941c-4b37-85f4-da70dfa5d9ee")</f>
      </c>
    </row>
    <row r="2267" spans="1:10" customHeight="0">
      <c r="A2267" s="2" t="inlineStr">
        <is>
          <t>Сетевые карты</t>
        </is>
      </c>
      <c r="B2267" s="2" t="inlineStr">
        <is>
          <t>Mellanox</t>
        </is>
      </c>
      <c r="C2267" s="2" t="inlineStr">
        <is>
          <t>MCX75310AAS-NEAT</t>
        </is>
      </c>
      <c r="D2267" s="2" t="inlineStr">
        <is>
          <t>MCX75310AAS-NEAT, Mellanox ConnectX-7 PCIe x16 Stand-up, Ethernet 400 GbE, PCIe x16 Gen 4.0/5.0</t>
        </is>
      </c>
      <c r="E2267" s="2">
        <v>10</v>
      </c>
      <c r="F2267" s="2">
        <v>10</v>
      </c>
      <c r="H2267" s="2">
        <v>1828</v>
      </c>
      <c r="I2267" s="2" t="inlineStr">
        <is>
          <t>$</t>
        </is>
      </c>
      <c r="J2267" s="2">
        <f>HYPERLINK("https://app.astro.lead-studio.pro/product/f11a7f3e-f170-426d-9691-829f509dcd6e")</f>
      </c>
    </row>
    <row r="2268" spans="1:10" customHeight="0">
      <c r="A2268" s="2" t="inlineStr">
        <is>
          <t>Сетевые карты</t>
        </is>
      </c>
      <c r="B2268" s="2" t="inlineStr">
        <is>
          <t>Caswell</t>
        </is>
      </c>
      <c r="C2268" s="2" t="inlineStr">
        <is>
          <t>NID-86021</t>
        </is>
      </c>
      <c r="D2268" s="2" t="inlineStr">
        <is>
          <t>Сетевой адаптер Caswell NID-86021 NID-86021 Caswell Cетевой адаптер Proprietary PCIe Gen3x8, 2x40GbE QSFP+, Intel XL710-BM2 LAN Controller Проприетарный формфактор. Установлен в каретку для установки в платформу (не установлен в устройство).</t>
        </is>
      </c>
      <c r="E2268" s="2">
        <v>3</v>
      </c>
      <c r="F2268" s="2">
        <v>3</v>
      </c>
      <c r="H2268" s="2">
        <v>513</v>
      </c>
      <c r="I2268" s="2" t="inlineStr">
        <is>
          <t>$</t>
        </is>
      </c>
      <c r="J2268" s="2">
        <f>HYPERLINK("https://app.astro.lead-studio.pro/product/20a5dac7-32ef-4128-815e-76883c53dae3")</f>
      </c>
    </row>
    <row r="2269" spans="1:10" customHeight="0">
      <c r="A2269" s="2" t="inlineStr">
        <is>
          <t>Сетевые карты</t>
        </is>
      </c>
      <c r="B2269" s="2" t="inlineStr">
        <is>
          <t>HPE</t>
        </is>
      </c>
      <c r="C2269" s="2" t="inlineStr">
        <is>
          <t>P26259-B21</t>
        </is>
      </c>
      <c r="D2269" s="2" t="inlineStr">
        <is>
          <t>Сетевой адаптер HPE Broadcom BCM57412 Ethernet 10Gb 2-port SFP+ Adapter for HPE </t>
        </is>
      </c>
      <c r="E2269" s="2">
        <v>3</v>
      </c>
      <c r="F2269" s="2">
        <v>3</v>
      </c>
      <c r="H2269" s="2">
        <v>327</v>
      </c>
      <c r="I2269" s="2" t="inlineStr">
        <is>
          <t>$</t>
        </is>
      </c>
      <c r="J2269" s="2">
        <f>HYPERLINK("https://app.astro.lead-studio.pro/product/5707bf72-a79d-44bc-af86-1dbe2c5d5a1f")</f>
      </c>
    </row>
    <row r="2270" spans="1:10" customHeight="0">
      <c r="A2270" s="2" t="inlineStr">
        <is>
          <t>Сетевые карты</t>
        </is>
      </c>
      <c r="B2270" s="2" t="inlineStr">
        <is>
          <t>HPE</t>
        </is>
      </c>
      <c r="C2270" s="2" t="inlineStr">
        <is>
          <t>P26262-B21</t>
        </is>
      </c>
      <c r="D2270" s="2" t="inlineStr">
        <is>
          <t>Сетевой адаптер HPE Broadcom BCM57414 Ethernet 10/25Gb 2-port SFP28 Adapter for HPE </t>
        </is>
      </c>
      <c r="E2270" s="2">
        <v>5</v>
      </c>
      <c r="F2270" s="2">
        <v>5</v>
      </c>
      <c r="H2270" s="2">
        <v>340</v>
      </c>
      <c r="I2270" s="2" t="inlineStr">
        <is>
          <t>$</t>
        </is>
      </c>
      <c r="J2270" s="2">
        <f>HYPERLINK("https://app.astro.lead-studio.pro/product/b6818a84-82ec-4b21-89da-b200aa05e9c9")</f>
      </c>
    </row>
    <row r="2271" spans="1:10" customHeight="0">
      <c r="A2271" s="2" t="inlineStr">
        <is>
          <t>Сетевые карты</t>
        </is>
      </c>
      <c r="B2271" s="2" t="inlineStr">
        <is>
          <t>HPE</t>
        </is>
      </c>
      <c r="C2271" s="2" t="inlineStr">
        <is>
          <t>P26264-B21</t>
        </is>
      </c>
      <c r="D2271" s="2" t="inlineStr">
        <is>
          <t>Сетевой адаптер HPE Broadcom BCM57504 Ethernet 10/25Gb 4-port SFP28 Adapter for HPE </t>
        </is>
      </c>
      <c r="E2271" s="2">
        <v>13</v>
      </c>
      <c r="F2271" s="2">
        <v>13</v>
      </c>
      <c r="H2271" s="2">
        <v>628</v>
      </c>
      <c r="I2271" s="2" t="inlineStr">
        <is>
          <t>$</t>
        </is>
      </c>
      <c r="J2271" s="2">
        <f>HYPERLINK("https://app.astro.lead-studio.pro/product/ee5b1ea2-947c-4192-8429-2b34842c4d88")</f>
      </c>
    </row>
    <row r="2272" spans="1:10" customHeight="0">
      <c r="A2272" s="2" t="inlineStr">
        <is>
          <t>Сетевые карты</t>
        </is>
      </c>
      <c r="B2272" s="2" t="inlineStr">
        <is>
          <t>Silicom</t>
        </is>
      </c>
      <c r="C2272" s="2" t="inlineStr">
        <is>
          <t>PE210G2DBi9-SR-SD</t>
        </is>
      </c>
      <c r="D2272" s="2" t="inlineStr">
        <is>
          <t>Сетевой адаптер Silicom PE210G2DBi9-SR-SD Dual port Fiber 10 Gigabit Ethernet PCI Express Content Director Server Adapter Intel® based PCI-E Base Specification Rev 2.0 167.64mmX110.16mm (6.60”X 4.34”) X8 Lane Intel 82599EB (2) LC</t>
        </is>
      </c>
      <c r="E2272" s="2">
        <v>1</v>
      </c>
      <c r="F2272" s="2">
        <v>1</v>
      </c>
      <c r="H2272" s="2">
        <v>2329</v>
      </c>
      <c r="I2272" s="2" t="inlineStr">
        <is>
          <t>$</t>
        </is>
      </c>
      <c r="J2272" s="2">
        <f>HYPERLINK("https://app.astro.lead-studio.pro/product/a868b3e5-a175-47f6-a79d-4a2e862bfe0f")</f>
      </c>
    </row>
    <row r="2273" spans="1:10" customHeight="0">
      <c r="A2273" s="2" t="inlineStr">
        <is>
          <t>Сетевые карты</t>
        </is>
      </c>
      <c r="B2273" s="2" t="inlineStr">
        <is>
          <t>Silicom</t>
        </is>
      </c>
      <c r="C2273" s="2" t="inlineStr">
        <is>
          <t>PE210G2SPI9A-XR</t>
        </is>
      </c>
      <c r="D2273" s="2" t="inlineStr">
        <is>
          <t>Сетевой адаптер Silicom PE210G2SPI9A-XR Dual Port 10 Gigabit Ethernet PCI Express Server Adapter Intel® based (аналог X520-DA2) 2 x SFP+ 10Gb/s NIC LP PCIE2.1x8</t>
        </is>
      </c>
      <c r="E2273" s="2">
        <v>4</v>
      </c>
      <c r="F2273" s="2">
        <v>4</v>
      </c>
      <c r="H2273" s="2">
        <v>352</v>
      </c>
      <c r="I2273" s="2" t="inlineStr">
        <is>
          <t>$</t>
        </is>
      </c>
      <c r="J2273" s="2">
        <f>HYPERLINK("https://app.astro.lead-studio.pro/product/a8ab787a-2e69-4af6-9e66-c078d44906ed")</f>
      </c>
    </row>
    <row r="2274" spans="1:10" customHeight="0">
      <c r="A2274" s="2" t="inlineStr">
        <is>
          <t>Сетевые карты</t>
        </is>
      </c>
      <c r="B2274" s="2" t="inlineStr">
        <is>
          <t>Silicom</t>
        </is>
      </c>
      <c r="C2274" s="2" t="inlineStr">
        <is>
          <t>PE2ISCO1</t>
        </is>
      </c>
      <c r="D2274" s="2" t="inlineStr">
        <is>
          <t>Сетевой адаптер Silicom Silicom PE2iSCO1 HW Accelerator Compression PCI Express Server Adapter (Intel DH8950CL Hub based) (Low Profile)</t>
        </is>
      </c>
      <c r="E2274" s="2">
        <v>4</v>
      </c>
      <c r="F2274" s="2">
        <v>4</v>
      </c>
      <c r="H2274" s="2">
        <v>613</v>
      </c>
      <c r="I2274" s="2" t="inlineStr">
        <is>
          <t>$</t>
        </is>
      </c>
      <c r="J2274" s="2">
        <f>HYPERLINK("https://app.astro.lead-studio.pro/product/2276edcc-b3aa-4722-a7fe-68158ac3d5e4")</f>
      </c>
    </row>
    <row r="2275" spans="1:10" customHeight="0">
      <c r="A2275" s="2" t="inlineStr">
        <is>
          <t>Сетевые карты</t>
        </is>
      </c>
      <c r="B2275" s="2" t="inlineStr">
        <is>
          <t>Silicom</t>
        </is>
      </c>
      <c r="C2275" s="2" t="inlineStr">
        <is>
          <t>PE310G2I50-T</t>
        </is>
      </c>
      <c r="D2275" s="2" t="inlineStr">
        <is>
          <t>Сетевой адаптер Silicom PE310G2I50-T Dual Port Copper 10GBE PCI-E G3 Server Adapter</t>
        </is>
      </c>
      <c r="E2275" s="2">
        <v>2</v>
      </c>
      <c r="F2275" s="2">
        <v>2</v>
      </c>
      <c r="H2275" s="2">
        <v>380</v>
      </c>
      <c r="I2275" s="2" t="inlineStr">
        <is>
          <t>$</t>
        </is>
      </c>
      <c r="J2275" s="2">
        <f>HYPERLINK("https://app.astro.lead-studio.pro/product/425d54ef-7544-4949-9faa-33f0936f63f7")</f>
      </c>
    </row>
    <row r="2276" spans="1:10" customHeight="0">
      <c r="A2276" s="2" t="inlineStr">
        <is>
          <t>Сетевые карты</t>
        </is>
      </c>
      <c r="B2276" s="2" t="inlineStr">
        <is>
          <t>Silicom</t>
        </is>
      </c>
      <c r="C2276" s="2" t="inlineStr">
        <is>
          <t>PE310G4I71LB-XR||bp</t>
        </is>
      </c>
      <c r="D2276" s="2" t="inlineStr">
        <is>
          <t>Сетевой адаптер Silicom Bad Pack PE310G4I71LB-XR Quad Port Fiber 10 Gigabit Server Adapter PCI Express X8 lanes Express Base Specification Revision 3.0 ( 8 GTs) Linux Windows FreeBSD VMWare {32} bp</t>
        </is>
      </c>
      <c r="E2276" s="2">
        <v>4</v>
      </c>
      <c r="F2276" s="2">
        <v>4</v>
      </c>
      <c r="H2276" s="2">
        <v>442</v>
      </c>
      <c r="I2276" s="2" t="inlineStr">
        <is>
          <t>$</t>
        </is>
      </c>
      <c r="J2276" s="2">
        <f>HYPERLINK("https://app.astro.lead-studio.pro/product/122cfbb7-9b05-4cdf-b4f0-426aa7726fe3")</f>
      </c>
    </row>
    <row r="2277" spans="1:10" customHeight="0">
      <c r="A2277" s="2" t="inlineStr">
        <is>
          <t>Сетевые карты</t>
        </is>
      </c>
      <c r="B2277" s="2" t="inlineStr">
        <is>
          <t>Silicom</t>
        </is>
      </c>
      <c r="C2277" s="2" t="inlineStr">
        <is>
          <t>PE310G6SPi9-LR</t>
        </is>
      </c>
      <c r="D2277" s="2" t="inlineStr">
        <is>
          <t>Сетевой адаптер Silicom PE310G6SPi9-LR (Intel 82599ES) 6x 10GBase-X SFP+</t>
        </is>
      </c>
      <c r="E2277" s="2">
        <v>1</v>
      </c>
      <c r="F2277" s="2">
        <v>1</v>
      </c>
      <c r="H2277" s="2">
        <v>2310</v>
      </c>
      <c r="I2277" s="2" t="inlineStr">
        <is>
          <t>$</t>
        </is>
      </c>
      <c r="J2277" s="2">
        <f>HYPERLINK("https://app.astro.lead-studio.pro/product/0edb9e79-df73-46a5-88e9-5796954cddac")</f>
      </c>
    </row>
    <row r="2278" spans="1:10" customHeight="0">
      <c r="A2278" s="2" t="inlineStr">
        <is>
          <t>Сетевые карты</t>
        </is>
      </c>
      <c r="B2278" s="2" t="inlineStr">
        <is>
          <t>Silicom</t>
        </is>
      </c>
      <c r="C2278" s="2" t="inlineStr">
        <is>
          <t>PE31640G2QI71-QX4</t>
        </is>
      </c>
      <c r="D2278" s="2" t="inlineStr">
        <is>
          <t>Сетевой адаптер Silicom PE31640G2QI71-QX4 Dual Port Fiber 40GBE PCIe G3 X16 Server Adapter</t>
        </is>
      </c>
      <c r="E2278" s="2">
        <v>4</v>
      </c>
      <c r="F2278" s="2">
        <v>4</v>
      </c>
      <c r="H2278" s="2">
        <v>1188</v>
      </c>
      <c r="I2278" s="2" t="inlineStr">
        <is>
          <t>$</t>
        </is>
      </c>
      <c r="J2278" s="2">
        <f>HYPERLINK("https://app.astro.lead-studio.pro/product/ce48ec60-dcb9-496f-8c68-1eb52b6bb7f2")</f>
      </c>
    </row>
    <row r="2279" spans="1:10" customHeight="0">
      <c r="A2279" s="2" t="inlineStr">
        <is>
          <t>Сетевые карты</t>
        </is>
      </c>
      <c r="B2279" s="2" t="inlineStr">
        <is>
          <t>Silicom</t>
        </is>
      </c>
      <c r="C2279" s="2" t="inlineStr">
        <is>
          <t>PE31640G2QI71-QX4||bp</t>
        </is>
      </c>
      <c r="D2279" s="2" t="inlineStr">
        <is>
          <t>Сетевой адаптер Silicom PE31640G2QI71-QX4 Dual Port Fiber 40GBE PCIe G3 X16 Server Adapter</t>
        </is>
      </c>
      <c r="E2279" s="2">
        <v>1</v>
      </c>
      <c r="F2279" s="2">
        <v>1</v>
      </c>
      <c r="H2279" s="2">
        <v>1138</v>
      </c>
      <c r="I2279" s="2" t="inlineStr">
        <is>
          <t>$</t>
        </is>
      </c>
      <c r="J2279" s="2">
        <f>HYPERLINK("https://app.astro.lead-studio.pro/product/44af184c-a52e-4985-ae6a-0662ae81d8b4")</f>
      </c>
    </row>
    <row r="2280" spans="1:10" customHeight="0">
      <c r="A2280" s="2" t="inlineStr">
        <is>
          <t>Сетевые карты</t>
        </is>
      </c>
      <c r="B2280" s="2" t="inlineStr">
        <is>
          <t>Silicom</t>
        </is>
      </c>
      <c r="C2280" s="2" t="inlineStr">
        <is>
          <t>PE325G2I71-XR</t>
        </is>
      </c>
      <c r="D2280" s="2" t="inlineStr">
        <is>
          <t>Dual Port SFP28 25 Gigabit Ethernet PCI Express Server Adapter X8 Gen3 ,Low Profile, Based on Intel XXV710-AM2, Support Direct Attached Copper cable</t>
        </is>
      </c>
      <c r="E2280" s="2">
        <v>4</v>
      </c>
      <c r="F2280" s="2">
        <v>4</v>
      </c>
      <c r="H2280" s="2">
        <v>335</v>
      </c>
      <c r="I2280" s="2" t="inlineStr">
        <is>
          <t>$</t>
        </is>
      </c>
      <c r="J2280" s="2">
        <f>HYPERLINK("https://app.astro.lead-studio.pro/product/740970bd-46b6-451a-99f1-06f0433f0014")</f>
      </c>
    </row>
    <row r="2281" spans="1:10" customHeight="0">
      <c r="A2281" s="2" t="inlineStr">
        <is>
          <t>Сетевые карты</t>
        </is>
      </c>
      <c r="B2281" s="2" t="inlineStr">
        <is>
          <t>Qlogic</t>
        </is>
      </c>
      <c r="C2281" s="2" t="inlineStr">
        <is>
          <t>QLE2672-CK</t>
        </is>
      </c>
      <c r="D2281" s="2" t="inlineStr">
        <is>
          <t>Сетевой адаптер Qlogic QLE2672-CK 16Gb/s FC HBA, 2-port, PCIe v2.0 x8 (или v3.0 x4), LC MMF (упаковка: блистер, в комплекте планки FH и LP) (002720)</t>
        </is>
      </c>
      <c r="E2281" s="2">
        <v>1</v>
      </c>
      <c r="F2281" s="2">
        <v>1</v>
      </c>
      <c r="H2281" s="2">
        <v>417</v>
      </c>
      <c r="I2281" s="2" t="inlineStr">
        <is>
          <t>$</t>
        </is>
      </c>
      <c r="J2281" s="2">
        <f>HYPERLINK("https://app.astro.lead-studio.pro/product/e0586147-017a-4832-a3bb-6d58d3fccd69")</f>
      </c>
    </row>
    <row r="2282" spans="1:10" customHeight="0">
      <c r="A2282" s="2" t="inlineStr">
        <is>
          <t>Сетевые карты</t>
        </is>
      </c>
      <c r="B2282" s="2" t="inlineStr">
        <is>
          <t>Qlogic</t>
        </is>
      </c>
      <c r="C2282" s="2" t="inlineStr">
        <is>
          <t>QLE2692-SR-CK / BK3210407-05</t>
        </is>
      </c>
      <c r="D2282" s="2" t="inlineStr">
        <is>
          <t>Сетевой адаптер Qlogic QLE2692-SR-CK 16Gb/s FC HBA, 2-port, PCIe v3.0 x8, LC SR MMF (278467)</t>
        </is>
      </c>
      <c r="E2282" s="2">
        <v>1</v>
      </c>
      <c r="F2282" s="2">
        <v>1</v>
      </c>
      <c r="H2282" s="2">
        <v>673</v>
      </c>
      <c r="I2282" s="2" t="inlineStr">
        <is>
          <t>$</t>
        </is>
      </c>
      <c r="J2282" s="2">
        <f>HYPERLINK("https://app.astro.lead-studio.pro/product/ed94c6be-ec13-4288-bbe2-e69f74f88d00")</f>
      </c>
    </row>
    <row r="2283" spans="1:10" customHeight="0">
      <c r="A2283" s="2" t="inlineStr">
        <is>
          <t>Сетевые карты</t>
        </is>
      </c>
      <c r="B2283" s="2" t="inlineStr">
        <is>
          <t>Qlogic</t>
        </is>
      </c>
      <c r="C2283" s="2" t="inlineStr">
        <is>
          <t>QLE2694L-CEM-BK / BK3210405-02 D</t>
        </is>
      </c>
      <c r="D2283" s="2" t="inlineStr">
        <is>
          <t>Сетевой адаптер Qlogic QLE2694L OEM,  16Gb/s FC HBA, 4-port, PCIe v3.0 x8, LC SR MMF, Low Profile (003017)</t>
        </is>
      </c>
      <c r="E2283" s="2">
        <v>1</v>
      </c>
      <c r="F2283" s="2">
        <v>1</v>
      </c>
      <c r="H2283" s="2">
        <v>1641</v>
      </c>
      <c r="I2283" s="2" t="inlineStr">
        <is>
          <t>$</t>
        </is>
      </c>
      <c r="J2283" s="2">
        <f>HYPERLINK("https://app.astro.lead-studio.pro/product/e73e97dd-a656-41e4-bd92-8a98a916b2b0")</f>
      </c>
    </row>
    <row r="2284" spans="1:10" customHeight="0">
      <c r="A2284" s="2" t="inlineStr">
        <is>
          <t>Сетевые карты</t>
        </is>
      </c>
      <c r="B2284" s="2" t="inlineStr">
        <is>
          <t>Qlogic</t>
        </is>
      </c>
      <c r="C2284" s="2" t="inlineStr">
        <is>
          <t>QLE2694-SR-CK</t>
        </is>
      </c>
      <c r="D2284" s="2" t="inlineStr">
        <is>
          <t>Сетевой адаптер Qlogic QLE2694-SR-CK 16Gb/s FC HBA, 4-port, PCIe v3.0 x8, LC SR MMF, Full Height</t>
        </is>
      </c>
      <c r="E2284" s="2">
        <v>1</v>
      </c>
      <c r="F2284" s="2">
        <v>1</v>
      </c>
      <c r="H2284" s="2">
        <v>918</v>
      </c>
      <c r="I2284" s="2" t="inlineStr">
        <is>
          <t>$</t>
        </is>
      </c>
      <c r="J2284" s="2">
        <f>HYPERLINK("https://app.astro.lead-studio.pro/product/c9c98cf0-1edb-4d96-af2a-a5a10d7731c3")</f>
      </c>
    </row>
    <row r="2285" spans="1:10" customHeight="0">
      <c r="A2285" s="2" t="inlineStr">
        <is>
          <t>Сетевые карты</t>
        </is>
      </c>
      <c r="B2285" s="2" t="inlineStr">
        <is>
          <t>Qlogic</t>
        </is>
      </c>
      <c r="C2285" s="2" t="inlineStr">
        <is>
          <t>QLE2694-SR-CK||bp</t>
        </is>
      </c>
      <c r="D2285" s="2" t="inlineStr">
        <is>
          <t>Сетевой адаптер Qlogic QLE2694-SR-CK 16Gb/s FC HBA, 4-port, PCIe v3.0 x8, LC SR MMF, Full Height</t>
        </is>
      </c>
      <c r="E2285" s="2">
        <v>1</v>
      </c>
      <c r="F2285" s="2">
        <v>1</v>
      </c>
      <c r="H2285" s="2">
        <v>941</v>
      </c>
      <c r="I2285" s="2" t="inlineStr">
        <is>
          <t>$</t>
        </is>
      </c>
      <c r="J2285" s="2">
        <f>HYPERLINK("https://app.astro.lead-studio.pro/product/e9cfb605-2ccb-42f7-aa4c-18b1b1640535")</f>
      </c>
    </row>
    <row r="2286" spans="1:10" customHeight="0">
      <c r="A2286" s="2" t="inlineStr">
        <is>
          <t>Сетевые карты</t>
        </is>
      </c>
      <c r="B2286" s="2" t="inlineStr">
        <is>
          <t>Qlogic</t>
        </is>
      </c>
      <c r="C2286" s="2" t="inlineStr">
        <is>
          <t>QLE2742-SR-CK / BK3210407-01 F</t>
        </is>
      </c>
      <c r="D2286" s="2" t="inlineStr">
        <is>
          <t>Сетевой адаптер Qlogic QLE2742-SR-CK (QLE2742-SR) 32Gb/s FC HBA, 2-port, PCIe v3.0 x8, LC SR MMF, В комплекте две планки (LP + FH)</t>
        </is>
      </c>
      <c r="E2286" s="2">
        <v>1</v>
      </c>
      <c r="F2286" s="2">
        <v>1</v>
      </c>
      <c r="H2286" s="2">
        <v>1822</v>
      </c>
      <c r="I2286" s="2" t="inlineStr">
        <is>
          <t>$</t>
        </is>
      </c>
      <c r="J2286" s="2">
        <f>HYPERLINK("https://app.astro.lead-studio.pro/product/4b714103-a890-4cb3-8489-4ed0ef762d3d")</f>
      </c>
    </row>
    <row r="2287" spans="1:10" customHeight="0">
      <c r="A2287" s="2" t="inlineStr">
        <is>
          <t>Сетевые карты</t>
        </is>
      </c>
      <c r="B2287" s="2" t="inlineStr">
        <is>
          <t>Qlogic</t>
        </is>
      </c>
      <c r="C2287" s="2" t="inlineStr">
        <is>
          <t>QLE2742-SR-CK / BK3210407-01 F OEM</t>
        </is>
      </c>
      <c r="D2287" s="2" t="inlineStr">
        <is>
          <t>Сетевой адаптер QLE2742-SR-CK (BK3210407-01 F /BK3210407-01 E) OEM 32Gb/s FC HBA, 2-port, PCIe v3.0 x8, LC SR MMF, В комплекте две планки (LP + FH)</t>
        </is>
      </c>
      <c r="E2287" s="2">
        <v>1</v>
      </c>
      <c r="F2287" s="2">
        <v>1</v>
      </c>
      <c r="H2287" s="2">
        <v>1859</v>
      </c>
      <c r="I2287" s="2" t="inlineStr">
        <is>
          <t>$</t>
        </is>
      </c>
      <c r="J2287" s="2">
        <f>HYPERLINK("https://app.astro.lead-studio.pro/product/6995e608-8b22-4680-8aff-5700f35df1f0")</f>
      </c>
    </row>
    <row r="2288" spans="1:10" customHeight="0">
      <c r="A2288" s="2" t="inlineStr">
        <is>
          <t>Сетевые карты</t>
        </is>
      </c>
      <c r="B2288" s="2" t="inlineStr">
        <is>
          <t>Qlogic</t>
        </is>
      </c>
      <c r="C2288" s="2" t="inlineStr">
        <is>
          <t>QLE2742-SR-CK / BK3210407-01 L</t>
        </is>
      </c>
      <c r="D2288" s="2" t="inlineStr">
        <is>
          <t>Сетевой адаптер Qlogic QLE2742-SR-CK (BK3210407-01 L) SGL 32Gb/s FC HBA, 2-port, PCIe v3.0 x8, LC SR MMF, В комплекте две планки (LP + FH)</t>
        </is>
      </c>
      <c r="E2288" s="2">
        <v>1</v>
      </c>
      <c r="F2288" s="2">
        <v>1</v>
      </c>
      <c r="H2288" s="2">
        <v>1833</v>
      </c>
      <c r="I2288" s="2" t="inlineStr">
        <is>
          <t>$</t>
        </is>
      </c>
      <c r="J2288" s="2">
        <f>HYPERLINK("https://app.astro.lead-studio.pro/product/d62a25a9-e5df-4ac6-80e9-fb871f9920b3")</f>
      </c>
    </row>
    <row r="2289" spans="1:10" customHeight="0">
      <c r="A2289" s="2" t="inlineStr">
        <is>
          <t>Сетевые карты</t>
        </is>
      </c>
      <c r="B2289" s="2" t="inlineStr">
        <is>
          <t>Qlogic</t>
        </is>
      </c>
      <c r="C2289" s="2" t="inlineStr">
        <is>
          <t>QLE2772-SR-SP</t>
        </is>
      </c>
      <c r="D2289" s="2" t="inlineStr">
        <is>
          <t>Сетевой адаптер Qlogic QLE2772-SR-SP 32Gb/s FC HBA, 2-port, PCIe v4.0 x8, LowProfile, LC SR MMF, В комплекте две планки (LP + FH)</t>
        </is>
      </c>
      <c r="E2289" s="2">
        <v>1</v>
      </c>
      <c r="F2289" s="2">
        <v>1</v>
      </c>
      <c r="H2289" s="2">
        <v>1475</v>
      </c>
      <c r="I2289" s="2" t="inlineStr">
        <is>
          <t>$</t>
        </is>
      </c>
      <c r="J2289" s="2">
        <f>HYPERLINK("https://app.astro.lead-studio.pro/product/07fba6a7-16a9-4ffd-b46b-ca6300da4085")</f>
      </c>
    </row>
    <row r="2290" spans="1:10" customHeight="0">
      <c r="A2290" s="2" t="inlineStr">
        <is>
          <t>Сетевые карты</t>
        </is>
      </c>
      <c r="B2290" s="2" t="inlineStr">
        <is>
          <t>Qlogic</t>
        </is>
      </c>
      <c r="C2290" s="2" t="inlineStr">
        <is>
          <t>QLE2772-SR-SP||bp</t>
        </is>
      </c>
      <c r="D2290" s="2" t="inlineStr">
        <is>
          <t>Сетевой адаптер Qlogic Bad Pack (скидка) QLE2772-SR-SP 32Gb/s FC HBA, 2-port, PCIe v4.0 x8, LowProfile, LC SR MMF, В комплекте две планки (LP + FH) bp</t>
        </is>
      </c>
      <c r="E2290" s="2">
        <v>1</v>
      </c>
      <c r="F2290" s="2">
        <v>1</v>
      </c>
      <c r="H2290" s="2">
        <v>1311</v>
      </c>
      <c r="I2290" s="2" t="inlineStr">
        <is>
          <t>$</t>
        </is>
      </c>
      <c r="J2290" s="2">
        <f>HYPERLINK("https://app.astro.lead-studio.pro/product/6c2d456f-438d-4757-aa37-ed79acd78268")</f>
      </c>
    </row>
    <row r="2291" spans="1:10" customHeight="0">
      <c r="A2291" s="2" t="inlineStr">
        <is>
          <t>Сетевые карты</t>
        </is>
      </c>
      <c r="B2291" s="2" t="inlineStr">
        <is>
          <t>Chelsio</t>
        </is>
      </c>
      <c r="C2291" s="2" t="inlineStr">
        <is>
          <t>T62100-SO-CR-PB</t>
        </is>
      </c>
      <c r="D2291" s="2" t="inlineStr">
        <is>
          <t>Сетевая карта Chelsio T62100-SO-CR-PB RTL {10}</t>
        </is>
      </c>
      <c r="E2291" s="2">
        <v>10</v>
      </c>
      <c r="F2291" s="2">
        <v>10</v>
      </c>
      <c r="H2291" s="2">
        <v>584</v>
      </c>
      <c r="I2291" s="2" t="inlineStr">
        <is>
          <t>$</t>
        </is>
      </c>
      <c r="J2291" s="2">
        <f>HYPERLINK("https://app.astro.lead-studio.pro/product/f9ec2f4c-a582-49a6-8c89-e7b8e504141a")</f>
      </c>
    </row>
    <row r="2292" spans="1:10" customHeight="0">
      <c r="A2292" s="2" t="inlineStr">
        <is>
          <t>Сетевые карты</t>
        </is>
      </c>
      <c r="B2292" s="2" t="inlineStr">
        <is>
          <t>Intel</t>
        </is>
      </c>
      <c r="C2292" s="2" t="inlineStr">
        <is>
          <t>X710DA2G1P5</t>
        </is>
      </c>
      <c r="D2292" s="2" t="inlineStr">
        <is>
          <t>Сетевой адаптер Intel Intel® Ethernet Converged Network Adapter X710-DA2 2x SFP+ port 10GbE/1GbE, PCI-E v3 x4, VMDq. PCI-SIG* SR-IOV, w/o RDMA, Low Profile (075305) {5}</t>
        </is>
      </c>
      <c r="E2292" s="2">
        <v>5</v>
      </c>
      <c r="F2292" s="2">
        <v>5</v>
      </c>
      <c r="H2292" s="2">
        <v>321</v>
      </c>
      <c r="I2292" s="2" t="inlineStr">
        <is>
          <t>$</t>
        </is>
      </c>
      <c r="J2292" s="2">
        <f>HYPERLINK("https://app.astro.lead-studio.pro/product/6e6d06eb-9895-4056-987e-f0b96820ff30")</f>
      </c>
    </row>
    <row r="2293" spans="1:10" customHeight="0">
      <c r="A2293" s="2" t="inlineStr">
        <is>
          <t>Сетевые карты</t>
        </is>
      </c>
      <c r="B2293" s="2" t="inlineStr">
        <is>
          <t>Intel</t>
        </is>
      </c>
      <c r="C2293" s="2" t="inlineStr">
        <is>
          <t>X710DA4</t>
        </is>
      </c>
      <c r="D2293" s="2" t="inlineStr">
        <is>
          <t>Сетевой адаптер Intel Intel® Ethernet Converged Network Adapter X710-DA4 4x SFP+ port 10GbE/1GbE, PCI-E v3 x8, iSCSI, NFS, VMDq. PCI-SIG* SR-IOV (063401)</t>
        </is>
      </c>
      <c r="E2293" s="2">
        <v>5</v>
      </c>
      <c r="F2293" s="2">
        <v>5</v>
      </c>
      <c r="H2293" s="2">
        <v>717</v>
      </c>
      <c r="I2293" s="2" t="inlineStr">
        <is>
          <t>$</t>
        </is>
      </c>
      <c r="J2293" s="2">
        <f>HYPERLINK("https://app.astro.lead-studio.pro/product/202f0412-2c44-4ef4-b13c-020b53a43a17")</f>
      </c>
    </row>
    <row r="2294" spans="1:10" customHeight="0">
      <c r="A2294" s="2" t="inlineStr">
        <is>
          <t>Сетевые карты</t>
        </is>
      </c>
      <c r="B2294" s="2" t="inlineStr">
        <is>
          <t>Intel</t>
        </is>
      </c>
      <c r="C2294" s="2" t="inlineStr">
        <is>
          <t>X710DA4G2P5</t>
        </is>
      </c>
      <c r="D2294" s="2" t="inlineStr">
        <is>
          <t>Сетевой адаптер Intel Intel® Ethernet Converged Network Adapter X710-DA4 4x SFP+ port 10GbE/1GbE, PCI-E v3 x4, VMDq. PCI-SIG* SR-IOV, w/o RDMA, Low Profile (081399) {5}</t>
        </is>
      </c>
      <c r="E2294" s="2">
        <v>1</v>
      </c>
      <c r="F2294" s="2">
        <v>1</v>
      </c>
      <c r="H2294" s="2">
        <v>728</v>
      </c>
      <c r="I2294" s="2" t="inlineStr">
        <is>
          <t>$</t>
        </is>
      </c>
      <c r="J2294" s="2">
        <f>HYPERLINK("https://app.astro.lead-studio.pro/product/9232c78d-d75c-48e2-b24a-93981ba1fb34")</f>
      </c>
    </row>
    <row r="2295" spans="1:10" customHeight="0">
      <c r="A2295" s="2" t="inlineStr">
        <is>
          <t>Сетевые карты</t>
        </is>
      </c>
      <c r="B2295" s="2" t="inlineStr">
        <is>
          <t>Intel</t>
        </is>
      </c>
      <c r="C2295" s="2" t="inlineStr">
        <is>
          <t>X710T4LBLK</t>
        </is>
      </c>
      <c r="D2295" s="2" t="inlineStr">
        <is>
          <t>Сетевой адаптер Intel Intel® Ethernet Converged Network Adapter X710-T4L 4x RJ45 port 10GbE/5GbE/2.5GbE/1GbE, PCI-E v3 x8, iSCSI, NFS, VMDq. PCI-SIG* SR-IOV, w/o RDMA, Low Profile (174237) {5}</t>
        </is>
      </c>
      <c r="E2295" s="2">
        <v>5</v>
      </c>
      <c r="F2295" s="2">
        <v>5</v>
      </c>
      <c r="H2295" s="2">
        <v>649</v>
      </c>
      <c r="I2295" s="2" t="inlineStr">
        <is>
          <t>$</t>
        </is>
      </c>
      <c r="J2295" s="2">
        <f>HYPERLINK("https://app.astro.lead-studio.pro/product/8214f848-8004-4fc7-a4b3-7e171eef372b")</f>
      </c>
    </row>
    <row r="2296" spans="1:10" customHeight="0">
      <c r="A2296" s="2" t="inlineStr">
        <is>
          <t>Трансиверы</t>
        </is>
      </c>
      <c r="B2296" s="2" t="inlineStr">
        <is>
          <t>Infortrend</t>
        </is>
      </c>
      <c r="C2296" s="2" t="inlineStr">
        <is>
          <t>9370CSFP32G-0010</t>
        </is>
      </c>
      <c r="D2296" s="2" t="inlineStr">
        <is>
          <t>Трансивер Infortrend 9370CSFP32G-0010 32Gb/s Fibre Channel SFP28 optical, LC, 850nm, multi-mode</t>
        </is>
      </c>
      <c r="E2296" s="2">
        <v>1</v>
      </c>
      <c r="F2296" s="2">
        <v>1</v>
      </c>
      <c r="H2296" s="2">
        <v>365</v>
      </c>
      <c r="I2296" s="2" t="inlineStr">
        <is>
          <t>$</t>
        </is>
      </c>
      <c r="J2296" s="2">
        <f>HYPERLINK("https://app.astro.lead-studio.pro/product/1e06216a-93e1-40d3-8dff-c69bde2349c1")</f>
      </c>
    </row>
    <row r="2297" spans="1:10" customHeight="0">
      <c r="A2297" s="2" t="inlineStr">
        <is>
          <t>Трансиверы</t>
        </is>
      </c>
      <c r="B2297" s="2" t="inlineStr">
        <is>
          <t>ACD</t>
        </is>
      </c>
      <c r="C2297" s="2" t="inlineStr">
        <is>
          <t>ACD1-Q100G-SR4</t>
        </is>
      </c>
      <c r="D2297" s="2" t="inlineStr">
        <is>
          <t>Трансивер ACD ACD1-Q100G-SR4, 100G Ethernet QSFP28 Pluggable Transceiver</t>
        </is>
      </c>
      <c r="E2297" s="2">
        <v>1</v>
      </c>
      <c r="F2297" s="2">
        <v>1</v>
      </c>
      <c r="H2297" s="2">
        <v>696</v>
      </c>
      <c r="I2297" s="2" t="inlineStr">
        <is>
          <t>$</t>
        </is>
      </c>
      <c r="J2297" s="2">
        <f>HYPERLINK("https://app.astro.lead-studio.pro/product/69e00e3c-993b-4a9a-abe0-d89dd63d6177")</f>
      </c>
    </row>
    <row r="2298" spans="1:10" customHeight="0">
      <c r="A2298" s="2" t="inlineStr">
        <is>
          <t>Трансиверы</t>
        </is>
      </c>
      <c r="B2298" s="2" t="inlineStr">
        <is>
          <t>ACD</t>
        </is>
      </c>
      <c r="C2298" s="2" t="inlineStr">
        <is>
          <t>ACD-QSFP28.LR4</t>
        </is>
      </c>
      <c r="D2298" s="2" t="inlineStr">
        <is>
          <t>Трансивер ACD ACD-QSFP28.LR4 QSFP28, 100G, LR4, 10km, 2xLC</t>
        </is>
      </c>
      <c r="E2298" s="2">
        <v>2</v>
      </c>
      <c r="F2298" s="2">
        <v>2</v>
      </c>
      <c r="H2298" s="2">
        <v>424</v>
      </c>
      <c r="I2298" s="2" t="inlineStr">
        <is>
          <t>$</t>
        </is>
      </c>
      <c r="J2298" s="2">
        <f>HYPERLINK("https://app.astro.lead-studio.pro/product/772f03a5-fb83-461d-8546-bd103dd3a5b0")</f>
      </c>
    </row>
    <row r="2299" spans="1:10" customHeight="0">
      <c r="A2299" s="2" t="inlineStr">
        <is>
          <t>Трансиверы</t>
        </is>
      </c>
      <c r="B2299" s="2" t="inlineStr">
        <is>
          <t>D-Link</t>
        </is>
      </c>
      <c r="C2299" s="2" t="inlineStr">
        <is>
          <t>DEM-Q2810Q-LR4/A1A</t>
        </is>
      </c>
      <c r="D2299" s="2" t="inlineStr">
        <is>
          <t>Трансивер D-Link DEM-Q2810Q-LR4/A1A Трансивер QSFP28 с 1 портом 100GBase-LR4 для одномодового оптического кабеля (до 10 км)</t>
        </is>
      </c>
      <c r="E2299" s="2">
        <v>2</v>
      </c>
      <c r="F2299" s="2">
        <v>2</v>
      </c>
      <c r="H2299" s="2">
        <v>534</v>
      </c>
      <c r="I2299" s="2" t="inlineStr">
        <is>
          <t>$</t>
        </is>
      </c>
      <c r="J2299" s="2">
        <f>HYPERLINK("https://app.astro.lead-studio.pro/product/47c4494f-8423-4bd6-9ced-315462c9f419")</f>
      </c>
    </row>
    <row r="2300" spans="1:10" customHeight="0">
      <c r="A2300" s="2" t="inlineStr">
        <is>
          <t>Трансиверы</t>
        </is>
      </c>
      <c r="B2300" s="2" t="inlineStr">
        <is>
          <t>CISCO</t>
        </is>
      </c>
      <c r="C2300" s="2" t="inlineStr">
        <is>
          <t>DS-SFP-FC16G-LW</t>
        </is>
      </c>
      <c r="D2300" s="2" t="inlineStr">
        <is>
          <t>Трансивер CISCO 16Gb FC Longwave Optics Transceiver, 1310nm, SM, up to 10km, DS-SFP-FC16-LW </t>
        </is>
      </c>
      <c r="E2300" s="2">
        <v>10</v>
      </c>
      <c r="F2300" s="2">
        <v>10</v>
      </c>
      <c r="H2300" s="2">
        <v>510</v>
      </c>
      <c r="I2300" s="2" t="inlineStr">
        <is>
          <t>$</t>
        </is>
      </c>
      <c r="J2300" s="2">
        <f>HYPERLINK("https://app.astro.lead-studio.pro/product/2dea0618-b2e6-41be-a24c-232ef79c84b8")</f>
      </c>
    </row>
    <row r="2301" spans="1:10" customHeight="0">
      <c r="A2301" s="2" t="inlineStr">
        <is>
          <t>Трансиверы</t>
        </is>
      </c>
      <c r="B2301" s="2" t="inlineStr">
        <is>
          <t>Silicom</t>
        </is>
      </c>
      <c r="C2301" s="2" t="inlineStr">
        <is>
          <t>EIC#FTL4C1QE3C</t>
        </is>
      </c>
      <c r="D2301" s="2" t="inlineStr">
        <is>
          <t>Трансивер Silicom 40GBASE-LR4 10Km QSFP+ CWDM Optical T/R/ FTL4C1QE3C</t>
        </is>
      </c>
      <c r="E2301" s="2">
        <v>4</v>
      </c>
      <c r="F2301" s="2">
        <v>4</v>
      </c>
      <c r="H2301" s="2">
        <v>423</v>
      </c>
      <c r="I2301" s="2" t="inlineStr">
        <is>
          <t>$</t>
        </is>
      </c>
      <c r="J2301" s="2">
        <f>HYPERLINK("https://app.astro.lead-studio.pro/product/9b0811f0-5b0e-49c0-9e95-6fbfc67e9952")</f>
      </c>
    </row>
    <row r="2302" spans="1:10" customHeight="0">
      <c r="A2302" s="2" t="inlineStr">
        <is>
          <t>Трансиверы</t>
        </is>
      </c>
      <c r="B2302" s="2" t="inlineStr">
        <is>
          <t>Fibertrade</t>
        </is>
      </c>
      <c r="C2302" s="2" t="inlineStr">
        <is>
          <t>FT-QSFP+-eLR4</t>
        </is>
      </c>
      <c r="D2302" s="2" t="inlineStr">
        <is>
          <t>Трансивер Fibertrade FT-QSFP+-eLR4 40G, QSFP+, LC, SMF, 20km, CWDM (4хDFB) laser, OEM</t>
        </is>
      </c>
      <c r="E2302" s="2">
        <v>6</v>
      </c>
      <c r="F2302" s="2">
        <v>6</v>
      </c>
      <c r="H2302" s="2">
        <v>615</v>
      </c>
      <c r="I2302" s="2" t="inlineStr">
        <is>
          <t>$</t>
        </is>
      </c>
      <c r="J2302" s="2">
        <f>HYPERLINK("https://app.astro.lead-studio.pro/product/18944808-084a-476b-b949-d9092c85eea5")</f>
      </c>
    </row>
    <row r="2303" spans="1:10" customHeight="0">
      <c r="A2303" s="2" t="inlineStr">
        <is>
          <t>Трансиверы</t>
        </is>
      </c>
      <c r="B2303" s="2" t="inlineStr">
        <is>
          <t>Fibertrade</t>
        </is>
      </c>
      <c r="C2303" s="2" t="inlineStr">
        <is>
          <t>FT-QSFP+-LR4 (CS)</t>
        </is>
      </c>
      <c r="D2303" s="2" t="inlineStr">
        <is>
          <t>Трансивер Fibertrade FT-QSFP+-LR4 40G, QSFP+, LC, SMF, 10km, 1310nm (4хDFB) laser, (прошивка Cisco) OEM</t>
        </is>
      </c>
      <c r="E2303" s="2">
        <v>1</v>
      </c>
      <c r="F2303" s="2">
        <v>1</v>
      </c>
      <c r="H2303" s="2">
        <v>401</v>
      </c>
      <c r="I2303" s="2" t="inlineStr">
        <is>
          <t>$</t>
        </is>
      </c>
      <c r="J2303" s="2">
        <f>HYPERLINK("https://app.astro.lead-studio.pro/product/e16a2705-be9e-4bd0-9465-4a9a08399a53")</f>
      </c>
    </row>
    <row r="2304" spans="1:10" customHeight="0">
      <c r="A2304" s="2" t="inlineStr">
        <is>
          <t>Трансиверы</t>
        </is>
      </c>
      <c r="B2304" s="2" t="inlineStr">
        <is>
          <t>Fibertrade</t>
        </is>
      </c>
      <c r="C2304" s="2" t="inlineStr">
        <is>
          <t>FT-SFP+-EZR-80-D</t>
        </is>
      </c>
      <c r="D2304" s="2" t="inlineStr">
        <is>
          <t>Трансивер Fibertrade FT-SFP+-EZR-80-D</t>
        </is>
      </c>
      <c r="E2304" s="2">
        <v>2</v>
      </c>
      <c r="F2304" s="2">
        <v>2</v>
      </c>
      <c r="H2304" s="2">
        <v>511</v>
      </c>
      <c r="I2304" s="2" t="inlineStr">
        <is>
          <t>$</t>
        </is>
      </c>
      <c r="J2304" s="2">
        <f>HYPERLINK("https://app.astro.lead-studio.pro/product/86c5cab9-69b4-4e61-8b5a-68a6d6e5fee8")</f>
      </c>
    </row>
    <row r="2305" spans="1:10" customHeight="0">
      <c r="A2305" s="2" t="inlineStr">
        <is>
          <t>Трансиверы</t>
        </is>
      </c>
      <c r="B2305" s="2" t="inlineStr">
        <is>
          <t>Silicom</t>
        </is>
      </c>
      <c r="C2305" s="2" t="inlineStr">
        <is>
          <t>OPT000054</t>
        </is>
      </c>
      <c r="D2305" s="2" t="inlineStr">
        <is>
          <t>Трансивер Silicom 200GBASE-SR4 850nm 100m QSFP56 0°C to 70° C/FTCC8612E2PCM</t>
        </is>
      </c>
      <c r="E2305" s="2">
        <v>4</v>
      </c>
      <c r="F2305" s="2">
        <v>4</v>
      </c>
      <c r="H2305" s="2">
        <v>476</v>
      </c>
      <c r="I2305" s="2" t="inlineStr">
        <is>
          <t>$</t>
        </is>
      </c>
      <c r="J2305" s="2">
        <f>HYPERLINK("https://app.astro.lead-studio.pro/product/0ce904f7-5fb1-48fc-83a4-b0ffcca22de6")</f>
      </c>
    </row>
    <row r="2306" spans="1:10" customHeight="0">
      <c r="A2306" s="2" t="inlineStr">
        <is>
          <t>Трансиверы</t>
        </is>
      </c>
      <c r="B2306" s="2" t="inlineStr">
        <is>
          <t>Silicom</t>
        </is>
      </c>
      <c r="C2306" s="2" t="inlineStr">
        <is>
          <t>OPT000072</t>
        </is>
      </c>
      <c r="D2306" s="2" t="inlineStr">
        <is>
          <t>Трансивер Silicom 100Gb QSFP28 LR4/ FTLC1156RDPL (OPT000072)</t>
        </is>
      </c>
      <c r="E2306" s="2">
        <v>4</v>
      </c>
      <c r="F2306" s="2">
        <v>4</v>
      </c>
      <c r="H2306" s="2">
        <v>433</v>
      </c>
      <c r="I2306" s="2" t="inlineStr">
        <is>
          <t>$</t>
        </is>
      </c>
      <c r="J2306" s="2">
        <f>HYPERLINK("https://app.astro.lead-studio.pro/product/02504063-3411-4a62-9ec0-6f00e6477ff6")</f>
      </c>
    </row>
    <row r="2307" spans="1:10" customHeight="0">
      <c r="A2307" s="2" t="inlineStr">
        <is>
          <t>Трансиверы</t>
        </is>
      </c>
      <c r="B2307" s="2" t="inlineStr">
        <is>
          <t>CISCO</t>
        </is>
      </c>
      <c r="C2307" s="2" t="inlineStr">
        <is>
          <t>QSFP-100G-ERL-S</t>
        </is>
      </c>
      <c r="D2307" s="2" t="inlineStr">
        <is>
          <t>Трансивер CISCO 100G QSFP28 Transceiver 100G ER-Lite, 25km SMF, duplex, LC, 1310nm, G.652, Purple LC, 100m OM4 MMF, QSFP-40/100-SRBD=</t>
        </is>
      </c>
      <c r="E2307" s="2">
        <v>3</v>
      </c>
      <c r="F2307" s="2">
        <v>3</v>
      </c>
      <c r="H2307" s="2">
        <v>844</v>
      </c>
      <c r="I2307" s="2" t="inlineStr">
        <is>
          <t>$</t>
        </is>
      </c>
      <c r="J2307" s="2">
        <f>HYPERLINK("https://app.astro.lead-studio.pro/product/cebc98c1-4967-43ef-a2c8-4c058e447ae8")</f>
      </c>
    </row>
    <row r="2308" spans="1:10" customHeight="0">
      <c r="A2308" s="2" t="inlineStr">
        <is>
          <t>Трансиверы</t>
        </is>
      </c>
      <c r="B2308" s="2" t="inlineStr">
        <is>
          <t>CISCO</t>
        </is>
      </c>
      <c r="C2308" s="2" t="inlineStr">
        <is>
          <t>QSFP-100G-SR4-S</t>
        </is>
      </c>
      <c r="D2308" s="2" t="inlineStr">
        <is>
          <t>Трансивер CISCO 100GBASE SR4 QSFP28 Transceiver, MPO, MMF, 850nm, Parallel Fiber, up to 100m, QSFP-100G-SR4-S </t>
        </is>
      </c>
      <c r="E2308" s="2">
        <v>4</v>
      </c>
      <c r="F2308" s="2">
        <v>4</v>
      </c>
      <c r="H2308" s="2">
        <v>420</v>
      </c>
      <c r="I2308" s="2" t="inlineStr">
        <is>
          <t>$</t>
        </is>
      </c>
      <c r="J2308" s="2">
        <f>HYPERLINK("https://app.astro.lead-studio.pro/product/431b03f7-e099-4416-bde2-7c39520d4652")</f>
      </c>
    </row>
    <row r="2309" spans="1:10" customHeight="0">
      <c r="A2309" s="2" t="inlineStr">
        <is>
          <t>Трансиверы</t>
        </is>
      </c>
      <c r="B2309" s="2" t="inlineStr">
        <is>
          <t>CISCO</t>
        </is>
      </c>
      <c r="C2309" s="2" t="inlineStr">
        <is>
          <t>QSFP-40/100-SRBD=</t>
        </is>
      </c>
      <c r="D2309" s="2" t="inlineStr">
        <is>
          <t>Трансивер CISCO 100G and 40GBASE SR-BiDi QSFP Transceiver, LC, 100m OM4 MMF, QSFP-40/100-SRBD=</t>
        </is>
      </c>
      <c r="E2309" s="2">
        <v>10</v>
      </c>
      <c r="F2309" s="2">
        <v>10</v>
      </c>
      <c r="H2309" s="2">
        <v>804</v>
      </c>
      <c r="I2309" s="2" t="inlineStr">
        <is>
          <t>$</t>
        </is>
      </c>
      <c r="J2309" s="2">
        <f>HYPERLINK("https://app.astro.lead-studio.pro/product/a60a1b77-a1a1-46d7-a31c-4ecf69116dbe")</f>
      </c>
    </row>
    <row r="2310" spans="1:10" customHeight="0">
      <c r="A2310" s="2" t="inlineStr">
        <is>
          <t>Трансиверы</t>
        </is>
      </c>
      <c r="B2310" s="2" t="inlineStr">
        <is>
          <t>D-Link</t>
        </is>
      </c>
      <c r="C2310" s="2" t="inlineStr">
        <is>
          <t>QX10Q-LR4/B1A</t>
        </is>
      </c>
      <c r="D2310" s="2" t="inlineStr">
        <is>
          <t>Трансивер D-Link QX10Q-LR4/B1A Трансивер QSFP+ с 1 портом 40GBase-LR4 для одномодового оптического кабеля (до 10 км) (454141)</t>
        </is>
      </c>
      <c r="E2310" s="2">
        <v>5</v>
      </c>
      <c r="F2310" s="2">
        <v>5</v>
      </c>
      <c r="H2310" s="2">
        <v>433</v>
      </c>
      <c r="I2310" s="2" t="inlineStr">
        <is>
          <t>$</t>
        </is>
      </c>
      <c r="J2310" s="2">
        <f>HYPERLINK("https://app.astro.lead-studio.pro/product/1285f8d5-115b-44ee-a88d-70269fb9b4ed")</f>
      </c>
    </row>
    <row r="2311" spans="1:10" customHeight="0">
      <c r="A2311" s="2" t="inlineStr">
        <is>
          <t>Трансиверы</t>
        </is>
      </c>
      <c r="B2311" s="2" t="inlineStr">
        <is>
          <t>CISCO</t>
        </is>
      </c>
      <c r="C2311" s="2" t="inlineStr">
        <is>
          <t>SFP-10/25G-CSR-S=</t>
        </is>
      </c>
      <c r="D2311" s="2" t="inlineStr">
        <is>
          <t>Трансивер CISCO Dual Rate 10/25GBASE-CSR SFP Module, SFP-10/25G-CSR-S=</t>
        </is>
      </c>
      <c r="E2311" s="2">
        <v>8</v>
      </c>
      <c r="F2311" s="2">
        <v>8</v>
      </c>
      <c r="H2311" s="2">
        <v>458</v>
      </c>
      <c r="I2311" s="2" t="inlineStr">
        <is>
          <t>$</t>
        </is>
      </c>
      <c r="J2311" s="2">
        <f>HYPERLINK("https://app.astro.lead-studio.pro/product/48e26457-9929-4426-a389-049b92400f3a")</f>
      </c>
    </row>
    <row r="2312" spans="1:10" customHeight="0">
      <c r="A2312" s="2" t="inlineStr">
        <is>
          <t>Трансиверы</t>
        </is>
      </c>
      <c r="B2312" s="2" t="inlineStr">
        <is>
          <t>CISCO</t>
        </is>
      </c>
      <c r="C2312" s="2" t="inlineStr">
        <is>
          <t>SFP-10/25G-LR-S=</t>
        </is>
      </c>
      <c r="D2312" s="2" t="inlineStr">
        <is>
          <t>Трансивер CISCO 10/25GBASE-LR SFP28 Module for SMF, up to 10km, SFP-10/25G-LR-S=</t>
        </is>
      </c>
      <c r="E2312" s="2">
        <v>10</v>
      </c>
      <c r="F2312" s="2">
        <v>10</v>
      </c>
      <c r="H2312" s="2">
        <v>638</v>
      </c>
      <c r="I2312" s="2" t="inlineStr">
        <is>
          <t>$</t>
        </is>
      </c>
      <c r="J2312" s="2">
        <f>HYPERLINK("https://app.astro.lead-studio.pro/product/3e92c5ac-87db-4304-8fc8-4fbfb345d5bd")</f>
      </c>
    </row>
    <row r="2313" spans="1:10" customHeight="0">
      <c r="A2313" s="2" t="inlineStr">
        <is>
          <t>Трансиверы</t>
        </is>
      </c>
      <c r="B2313" s="2" t="inlineStr">
        <is>
          <t>CISCO</t>
        </is>
      </c>
      <c r="C2313" s="2" t="inlineStr">
        <is>
          <t>SFP-25G-SR-S=</t>
        </is>
      </c>
      <c r="D2313" s="2" t="inlineStr">
        <is>
          <t>Трансивер CISCO 25GBASE-SR SFP28 Module for MMF, 850nm, 70/100m (OM3/OM4), SFP-25G-SR-S Enterprise-Class</t>
        </is>
      </c>
      <c r="E2313" s="2">
        <v>10</v>
      </c>
      <c r="F2313" s="2">
        <v>10</v>
      </c>
      <c r="H2313" s="2">
        <v>391</v>
      </c>
      <c r="I2313" s="2" t="inlineStr">
        <is>
          <t>$</t>
        </is>
      </c>
      <c r="J2313" s="2">
        <f>HYPERLINK("https://app.astro.lead-studio.pro/product/f8e130dc-922b-4fe8-9074-215ca56413ab")</f>
      </c>
    </row>
    <row r="2314" spans="1:10" customHeight="0">
      <c r="A2314" s="2" t="inlineStr">
        <is>
          <t>Трансиверы</t>
        </is>
      </c>
      <c r="B2314" s="2" t="inlineStr">
        <is>
          <t>SNR</t>
        </is>
      </c>
      <c r="C2314" s="2" t="inlineStr">
        <is>
          <t>SNR-QSFP28-SRBD</t>
        </is>
      </c>
      <c r="D2314" s="2" t="inlineStr">
        <is>
          <t>Трансивер SNR SNR-QSFP28-SRBD, QSFP28 100Gb, MMF, 850nm, разъем LC, дальность до 100м </t>
        </is>
      </c>
      <c r="E2314" s="2">
        <v>4</v>
      </c>
      <c r="F2314" s="2">
        <v>4</v>
      </c>
      <c r="H2314" s="2">
        <v>579</v>
      </c>
      <c r="I2314" s="2" t="inlineStr">
        <is>
          <t>$</t>
        </is>
      </c>
      <c r="J2314" s="2">
        <f>HYPERLINK("https://app.astro.lead-studio.pro/product/80c14864-0a75-49b4-9a6f-68e243ae0d20")</f>
      </c>
    </row>
    <row r="2315" spans="1:10" customHeight="0">
      <c r="A2315" s="2" t="inlineStr">
        <is>
          <t>Трансиверы</t>
        </is>
      </c>
      <c r="B2315" s="2" t="inlineStr">
        <is>
          <t>Brocade</t>
        </is>
      </c>
      <c r="C2315" s="2" t="inlineStr">
        <is>
          <t>XBR-000412</t>
        </is>
      </c>
      <c r="D2315" s="2" t="inlineStr">
        <is>
          <t>Трансивер Brocade 57-1000485-01 Brocade 32G FC SWL SFP+, 1 pack, XBR-000412</t>
        </is>
      </c>
      <c r="E2315" s="2">
        <v>11</v>
      </c>
      <c r="F2315" s="2">
        <v>11</v>
      </c>
      <c r="H2315" s="2">
        <v>892</v>
      </c>
      <c r="I2315" s="2" t="inlineStr">
        <is>
          <t>$</t>
        </is>
      </c>
      <c r="J2315" s="2">
        <f>HYPERLINK("https://app.astro.lead-studio.pro/product/c5e7501c-6dac-4b5f-903f-ebb2f178e50e")</f>
      </c>
    </row>
    <row r="2316" spans="1:10" customHeight="0">
      <c r="A2316" s="2" t="inlineStr">
        <is>
          <t>Трансиверы</t>
        </is>
      </c>
      <c r="B2316" s="2" t="inlineStr">
        <is>
          <t>Brocade</t>
        </is>
      </c>
      <c r="C2316" s="2" t="inlineStr">
        <is>
          <t>XBR-000492</t>
        </is>
      </c>
      <c r="D2316" s="2" t="inlineStr">
        <is>
          <t>Трансивер Brocade 57-1000487-01 Brocade 16G FC SWL SFP+, 1 pack, XBR-000492</t>
        </is>
      </c>
      <c r="E2316" s="2">
        <v>20</v>
      </c>
      <c r="F2316" s="2">
        <v>20</v>
      </c>
      <c r="H2316" s="2">
        <v>622</v>
      </c>
      <c r="I2316" s="2" t="inlineStr">
        <is>
          <t>$</t>
        </is>
      </c>
      <c r="J2316" s="2">
        <f>HYPERLINK("https://app.astro.lead-studio.pro/product/1d95d577-6c93-4c6d-ba85-c43eaafb251b")</f>
      </c>
    </row>
    <row r="2317" spans="1:10" customHeight="0">
      <c r="A2317" s="2" t="inlineStr">
        <is>
          <t>Трансиверы</t>
        </is>
      </c>
      <c r="B2317" s="2" t="inlineStr">
        <is>
          <t>Brocade</t>
        </is>
      </c>
      <c r="C2317" s="2" t="inlineStr">
        <is>
          <t>XBR-000498</t>
        </is>
      </c>
      <c r="D2317" s="2" t="inlineStr">
        <is>
          <t>Трансивер Brocade 57-1000488-01 Brocade 16G FC SFP+ LWL 10 km, 1 pack, XBR-000498</t>
        </is>
      </c>
      <c r="E2317" s="2">
        <v>12</v>
      </c>
      <c r="F2317" s="2">
        <v>12</v>
      </c>
      <c r="H2317" s="2">
        <v>1060</v>
      </c>
      <c r="I2317" s="2" t="inlineStr">
        <is>
          <t>$</t>
        </is>
      </c>
      <c r="J2317" s="2">
        <f>HYPERLINK("https://app.astro.lead-studio.pro/product/78b6fb78-694b-462a-bfcd-c2c0a9a89fe7")</f>
      </c>
    </row>
    <row r="2318" spans="1:10" customHeight="0">
      <c r="A2318" s="2" t="inlineStr">
        <is>
          <t>Хранилища данных</t>
        </is>
      </c>
      <c r="B2318" s="2" t="inlineStr">
        <is>
          <t>ASUSTOR</t>
        </is>
      </c>
      <c r="C2318" s="2" t="inlineStr">
        <is>
          <t>90IX0181-BW3S20||bp</t>
        </is>
      </c>
      <c r="D2318" s="2" t="inlineStr">
        <is>
          <t>Платформа СХД ASUSTOR Bad Pack AS5304T AS5304T/ASUSTOR/4BAY/EU/4GD4 RTL {4} bp</t>
        </is>
      </c>
      <c r="E2318" s="2">
        <v>1</v>
      </c>
      <c r="F2318" s="2">
        <v>1</v>
      </c>
      <c r="H2318" s="2">
        <v>637</v>
      </c>
      <c r="I2318" s="2" t="inlineStr">
        <is>
          <t>$</t>
        </is>
      </c>
      <c r="J2318" s="2">
        <f>HYPERLINK("https://app.astro.lead-studio.pro/product/41aca181-5715-4e92-a936-de6f8e045d25")</f>
      </c>
    </row>
    <row r="2319" spans="1:10" customHeight="0">
      <c r="A2319" s="2" t="inlineStr">
        <is>
          <t>Хранилища данных</t>
        </is>
      </c>
      <c r="B2319" s="2" t="inlineStr">
        <is>
          <t>ASUSTOR</t>
        </is>
      </c>
      <c r="C2319" s="2" t="inlineStr">
        <is>
          <t>90IX01G0-BW3S00</t>
        </is>
      </c>
      <c r="D2319" s="2" t="inlineStr">
        <is>
          <t>Сетевой накопитель  AS6504RS/ASUSTOR/4/BAY/EU/8GD4 AS6504RS </t>
        </is>
      </c>
      <c r="E2319" s="2">
        <v>1</v>
      </c>
      <c r="F2319" s="2">
        <v>1</v>
      </c>
      <c r="H2319" s="2">
        <v>1328</v>
      </c>
      <c r="I2319" s="2" t="inlineStr">
        <is>
          <t>$</t>
        </is>
      </c>
      <c r="J2319" s="2">
        <f>HYPERLINK("https://app.astro.lead-studio.pro/product/b026cbf7-f327-42b6-bc47-d111c9c80d3c")</f>
      </c>
    </row>
    <row r="2320" spans="1:10" customHeight="0">
      <c r="A2320" s="2" t="inlineStr">
        <is>
          <t>Хранилища данных</t>
        </is>
      </c>
      <c r="B2320" s="2" t="inlineStr">
        <is>
          <t>Infortrend</t>
        </is>
      </c>
      <c r="C2320" s="2" t="inlineStr">
        <is>
          <t>RES10G1HIO2-0010</t>
        </is>
      </c>
      <c r="D2320" s="2" t="inlineStr">
        <is>
          <t>Плата интерфейсная Infortrend EonStor RES10G1HIO2 host board with 2x 10Gbps iSCSI ports (SFP+), type2</t>
        </is>
      </c>
      <c r="E2320" s="2">
        <v>8</v>
      </c>
      <c r="F2320" s="2">
        <v>8</v>
      </c>
      <c r="H2320" s="2">
        <v>445</v>
      </c>
      <c r="I2320" s="2" t="inlineStr">
        <is>
          <t>$</t>
        </is>
      </c>
      <c r="J2320" s="2">
        <f>HYPERLINK("https://app.astro.lead-studio.pro/product/a7335b67-3c36-451d-82af-a1dddbe4b3d1")</f>
      </c>
    </row>
    <row r="2321" spans="1:10" customHeight="0">
      <c r="A2321" s="2" t="inlineStr">
        <is>
          <t>Хранилища данных</t>
        </is>
      </c>
      <c r="B2321" s="2" t="inlineStr">
        <is>
          <t>Infortrend</t>
        </is>
      </c>
      <c r="C2321" s="2" t="inlineStr">
        <is>
          <t>RFC32G0HIO2-0010</t>
        </is>
      </c>
      <c r="D2321" s="2" t="inlineStr">
        <is>
          <t>Плата интерфейсная Infortrend RFC32G0HIO2-0010 EonStor host board 2x 32Gbps FC ports type1 </t>
        </is>
      </c>
      <c r="E2321" s="2">
        <v>4</v>
      </c>
      <c r="F2321" s="2">
        <v>4</v>
      </c>
      <c r="H2321" s="2">
        <v>1612</v>
      </c>
      <c r="I2321" s="2" t="inlineStr">
        <is>
          <t>$</t>
        </is>
      </c>
      <c r="J2321" s="2">
        <f>HYPERLINK("https://app.astro.lead-studio.pro/product/fbe33845-8e33-49b5-b5df-b21feea21dbe")</f>
      </c>
    </row>
    <row r="2322" spans="1:10" customHeight="0">
      <c r="A2322" s="2" t="inlineStr">
        <is>
          <t>Хранилища данных</t>
        </is>
      </c>
      <c r="B2322" s="2" t="inlineStr">
        <is>
          <t>Infortrend</t>
        </is>
      </c>
      <c r="C2322" s="2" t="inlineStr">
        <is>
          <t>RFC32G1HIO4-0010</t>
        </is>
      </c>
      <c r="D2322" s="2" t="inlineStr">
        <is>
          <t>Плата интерфейсная Infortrend EonStor RFC32G1HIO4 host board with 4x 32Gbps FC ports, type2</t>
        </is>
      </c>
      <c r="E2322" s="2">
        <v>7</v>
      </c>
      <c r="F2322" s="2">
        <v>7</v>
      </c>
      <c r="H2322" s="2">
        <v>2487</v>
      </c>
      <c r="I2322" s="2" t="inlineStr">
        <is>
          <t>$</t>
        </is>
      </c>
      <c r="J2322" s="2">
        <f>HYPERLINK("https://app.astro.lead-studio.pro/product/0977c936-9dbb-497f-bff3-75fe3ad97dc9")</f>
      </c>
    </row>
    <row r="2323" spans="1:10" customHeight="0">
      <c r="A2323" s="2" t="inlineStr">
        <is>
          <t>JBOD</t>
        </is>
      </c>
      <c r="B2323" s="2" t="inlineStr">
        <is>
          <t>Chenbro</t>
        </is>
      </c>
      <c r="C2323" s="2" t="inlineStr">
        <is>
          <t>384-20019-Z1B900</t>
        </is>
      </c>
      <c r="D2323" s="2" t="inlineStr">
        <is>
          <t>Корпус Chenbro 384-20019-Z1B900 Корпус 2U JBOD 24x2.5", 3x 8-port SAS/SATA, 2.5” passive backplane, CRPS 1+1 Redundant 550W, 3 x 8038 PWM Hot-Swap fans, 2x 4x SFF-8644, 40-port redundant expander, BMC</t>
        </is>
      </c>
      <c r="E2323" s="2">
        <v>10</v>
      </c>
      <c r="F2323" s="2">
        <v>10</v>
      </c>
      <c r="H2323" s="2">
        <v>1961</v>
      </c>
      <c r="I2323" s="2" t="inlineStr">
        <is>
          <t>$</t>
        </is>
      </c>
      <c r="J2323" s="2">
        <f>HYPERLINK("https://app.astro.lead-studio.pro/product/de3c95ad-0a2b-4a13-9aa4-c5c1b2b0850e")</f>
      </c>
    </row>
    <row r="2324" spans="1:10" customHeight="0">
      <c r="A2324" s="2" t="inlineStr">
        <is>
          <t>JBOD</t>
        </is>
      </c>
      <c r="B2324" s="2" t="inlineStr">
        <is>
          <t>In-Win</t>
        </is>
      </c>
      <c r="C2324" s="2" t="inlineStr">
        <is>
          <t>6178528</t>
        </is>
      </c>
      <c r="D2324" s="2" t="inlineStr">
        <is>
          <t>Корпус In-Win IW-RJ460-08 1200W(RD)*2/JBOD PDB/FAN/BP/28"RAIL </t>
        </is>
      </c>
      <c r="E2324" s="2">
        <v>3</v>
      </c>
      <c r="F2324" s="2">
        <v>3</v>
      </c>
      <c r="H2324" s="2">
        <v>8555</v>
      </c>
      <c r="I2324" s="2" t="inlineStr">
        <is>
          <t>$</t>
        </is>
      </c>
      <c r="J2324" s="2">
        <f>HYPERLINK("https://app.astro.lead-studio.pro/product/4065ff53-c33d-4e9d-a70b-5c83a1a33b1f")</f>
      </c>
    </row>
    <row r="2325" spans="1:10" customHeight="0">
      <c r="A2325" s="2" t="inlineStr">
        <is>
          <t>JBOD</t>
        </is>
      </c>
      <c r="B2325" s="2" t="inlineStr">
        <is>
          <t>In-Win</t>
        </is>
      </c>
      <c r="C2325" s="2" t="inlineStr">
        <is>
          <t>6182985</t>
        </is>
      </c>
      <c r="D2325" s="2" t="inlineStr">
        <is>
          <t>Корпус In-Win IW-RJ316-04 550W(RD)/JBOD PDB/FAN/BP/Expander board*2/20"RAIL/ power cord*2</t>
        </is>
      </c>
      <c r="E2325" s="2">
        <v>4</v>
      </c>
      <c r="F2325" s="2">
        <v>4</v>
      </c>
      <c r="H2325" s="2">
        <v>2610</v>
      </c>
      <c r="I2325" s="2" t="inlineStr">
        <is>
          <t>$</t>
        </is>
      </c>
      <c r="J2325" s="2">
        <f>HYPERLINK("https://app.astro.lead-studio.pro/product/2f0ed27b-e501-496a-b4a1-53d420be7f44")</f>
      </c>
    </row>
    <row r="2326" spans="1:10" customHeight="0">
      <c r="A2326" s="2" t="inlineStr">
        <is>
          <t>JBOD</t>
        </is>
      </c>
      <c r="B2326" s="2" t="inlineStr">
        <is>
          <t>In-Win</t>
        </is>
      </c>
      <c r="C2326" s="2" t="inlineStr">
        <is>
          <t>6191279</t>
        </is>
      </c>
      <c r="D2326" s="2" t="inlineStr">
        <is>
          <t>Корпус In-Win IW-RJ424-04 550W(RD)/JBOD PDB/FAN/BP/Expander board*2/30"RAIL/ power cord*2 w/o rail</t>
        </is>
      </c>
      <c r="E2326" s="2">
        <v>3</v>
      </c>
      <c r="F2326" s="2">
        <v>3</v>
      </c>
      <c r="H2326" s="2">
        <v>2663</v>
      </c>
      <c r="I2326" s="2" t="inlineStr">
        <is>
          <t>$</t>
        </is>
      </c>
      <c r="J2326" s="2">
        <f>HYPERLINK("https://app.astro.lead-studio.pro/product/9084c398-e1d3-46c7-a814-ce8e5108d1c0")</f>
      </c>
    </row>
    <row r="2327" spans="1:10" customHeight="0">
      <c r="A2327" s="2" t="inlineStr">
        <is>
          <t>JBOD</t>
        </is>
      </c>
      <c r="B2327" s="2" t="inlineStr">
        <is>
          <t>Areca</t>
        </is>
      </c>
      <c r="C2327" s="2" t="inlineStr">
        <is>
          <t>ARC-7212JS-TR2</t>
        </is>
      </c>
      <c r="D2327" s="2" t="inlineStr">
        <is>
          <t>Корпус Areca 2U 12 BAY 12G SAS JBOD /Single, 3.5"/2.5" </t>
        </is>
      </c>
      <c r="E2327" s="2">
        <v>1</v>
      </c>
      <c r="F2327" s="2">
        <v>1</v>
      </c>
      <c r="H2327" s="2">
        <v>2057</v>
      </c>
      <c r="I2327" s="2" t="inlineStr">
        <is>
          <t>$</t>
        </is>
      </c>
      <c r="J2327" s="2">
        <f>HYPERLINK("https://app.astro.lead-studio.pro/product/a17c9b17-6970-47bf-bcef-766a158a9145")</f>
      </c>
    </row>
    <row r="2328" spans="1:10" customHeight="0">
      <c r="A2328" s="2" t="inlineStr">
        <is>
          <t>JBOD</t>
        </is>
      </c>
      <c r="B2328" s="2" t="inlineStr">
        <is>
          <t>Areca</t>
        </is>
      </c>
      <c r="C2328" s="2" t="inlineStr">
        <is>
          <t>ARC-7216JS-TR3</t>
        </is>
      </c>
      <c r="D2328" s="2" t="inlineStr">
        <is>
          <t>Корпус Areca 3U 16 BAY 12G SAS JBOD /Single, 3.5"/2.5" </t>
        </is>
      </c>
      <c r="E2328" s="2">
        <v>1</v>
      </c>
      <c r="F2328" s="2">
        <v>1</v>
      </c>
      <c r="H2328" s="2">
        <v>2243</v>
      </c>
      <c r="I2328" s="2" t="inlineStr">
        <is>
          <t>$</t>
        </is>
      </c>
      <c r="J2328" s="2">
        <f>HYPERLINK("https://app.astro.lead-studio.pro/product/ca0c3bd2-7521-4035-8b4d-7cff737db6e9")</f>
      </c>
    </row>
    <row r="2329" spans="1:10" customHeight="0">
      <c r="A2329" s="2" t="inlineStr">
        <is>
          <t>JBOD</t>
        </is>
      </c>
      <c r="B2329" s="2" t="inlineStr">
        <is>
          <t>Areca</t>
        </is>
      </c>
      <c r="C2329" s="2" t="inlineStr">
        <is>
          <t>ARC-7224JS-TR4</t>
        </is>
      </c>
      <c r="D2329" s="2" t="inlineStr">
        <is>
          <t>Корпус Areca 4U 24 BAY 12G SAS JBOD /Single, 3.5"/2.5" </t>
        </is>
      </c>
      <c r="E2329" s="2">
        <v>2</v>
      </c>
      <c r="F2329" s="2">
        <v>2</v>
      </c>
      <c r="H2329" s="2">
        <v>2555</v>
      </c>
      <c r="I2329" s="2" t="inlineStr">
        <is>
          <t>$</t>
        </is>
      </c>
      <c r="J2329" s="2">
        <f>HYPERLINK("https://app.astro.lead-studio.pro/product/6baf8131-a89d-4ab4-9de5-791cec50d5d8")</f>
      </c>
    </row>
    <row r="2330" spans="1:10" customHeight="0">
      <c r="A2330" s="2" t="inlineStr">
        <is>
          <t>JBOD</t>
        </is>
      </c>
      <c r="B2330" s="2" t="inlineStr">
        <is>
          <t>Areca</t>
        </is>
      </c>
      <c r="C2330" s="2" t="inlineStr">
        <is>
          <t>ARC-9312R2-DJ1Q</t>
        </is>
      </c>
      <c r="D2330" s="2" t="inlineStr">
        <is>
          <t>Корпус Areca 2U/12 BAY JBOD Redundant, 3.5"/2.5" </t>
        </is>
      </c>
      <c r="E2330" s="2">
        <v>6</v>
      </c>
      <c r="F2330" s="2">
        <v>6</v>
      </c>
      <c r="H2330" s="2">
        <v>3257</v>
      </c>
      <c r="I2330" s="2" t="inlineStr">
        <is>
          <t>$</t>
        </is>
      </c>
      <c r="J2330" s="2">
        <f>HYPERLINK("https://app.astro.lead-studio.pro/product/e54e7b85-6cd1-47b6-8975-9cf44ba66cae")</f>
      </c>
    </row>
    <row r="2331" spans="1:10" customHeight="0">
      <c r="A2331" s="2" t="inlineStr">
        <is>
          <t>JBOD</t>
        </is>
      </c>
      <c r="B2331" s="2" t="inlineStr">
        <is>
          <t>Areca</t>
        </is>
      </c>
      <c r="C2331" s="2" t="inlineStr">
        <is>
          <t>ARC-9324R4-DJ1Q</t>
        </is>
      </c>
      <c r="D2331" s="2" t="inlineStr">
        <is>
          <t>Корпус Areca 4U/24 BAY JBOD Redundant, 3.5"/2.5" </t>
        </is>
      </c>
      <c r="E2331" s="2">
        <v>3</v>
      </c>
      <c r="F2331" s="2">
        <v>3</v>
      </c>
      <c r="H2331" s="2">
        <v>4303</v>
      </c>
      <c r="I2331" s="2" t="inlineStr">
        <is>
          <t>$</t>
        </is>
      </c>
      <c r="J2331" s="2">
        <f>HYPERLINK("https://app.astro.lead-studio.pro/product/f6662a64-973a-4ad3-a505-a73e6796be9d")</f>
      </c>
    </row>
    <row r="2332" spans="1:10" customHeight="0">
      <c r="A2332" s="2" t="inlineStr">
        <is>
          <t>JBOD</t>
        </is>
      </c>
      <c r="B2332" s="2" t="inlineStr">
        <is>
          <t>SuperMicro</t>
        </is>
      </c>
      <c r="C2332" s="2" t="inlineStr">
        <is>
          <t>CSE-216BE2C-R609JBOD</t>
        </is>
      </c>
      <c r="D2332" s="2" t="inlineStr">
        <is>
          <t>Корпус SuperMicro CSE-216BE2C-R609JBOD 2U Storage JBOD Chassis with capacity 24 x 2.5" hot-swappable HDDs bays, Dual Expander Backplane Boards support SAS3/2 HDDs with 12Gb/s throughput</t>
        </is>
      </c>
      <c r="E2332" s="2">
        <v>1</v>
      </c>
      <c r="F2332" s="2">
        <v>1</v>
      </c>
      <c r="H2332" s="2">
        <v>3263</v>
      </c>
      <c r="I2332" s="2" t="inlineStr">
        <is>
          <t>$</t>
        </is>
      </c>
      <c r="J2332" s="2">
        <f>HYPERLINK("https://app.astro.lead-studio.pro/product/aac539cb-e7d4-4f51-8569-a3c33e5113e6")</f>
      </c>
    </row>
    <row r="2333" spans="1:10" customHeight="0">
      <c r="A2333" s="2" t="inlineStr">
        <is>
          <t>JBOD</t>
        </is>
      </c>
      <c r="B2333" s="2" t="inlineStr">
        <is>
          <t>SuperMicro</t>
        </is>
      </c>
      <c r="C2333" s="2" t="inlineStr">
        <is>
          <t>CSE-947SE2C-R1K66JBOD</t>
        </is>
      </c>
      <c r="D2333" s="2" t="inlineStr">
        <is>
          <t>Корпус SuperMicro CSE-947SE2C-R1K66JBOD</t>
        </is>
      </c>
      <c r="E2333" s="2">
        <v>3</v>
      </c>
      <c r="F2333" s="2">
        <v>3</v>
      </c>
      <c r="H2333" s="2">
        <v>12732</v>
      </c>
      <c r="I2333" s="2" t="inlineStr">
        <is>
          <t>$</t>
        </is>
      </c>
      <c r="J2333" s="2">
        <f>HYPERLINK("https://app.astro.lead-studio.pro/product/e1bdad2c-b0f7-433b-9b7a-33604c6ae6fe")</f>
      </c>
    </row>
    <row r="2334" spans="1:10" customHeight="0">
      <c r="A2334" s="2" t="inlineStr">
        <is>
          <t>JBOD</t>
        </is>
      </c>
      <c r="B2334" s="2" t="inlineStr">
        <is>
          <t>Chenbro</t>
        </is>
      </c>
      <c r="C2334" s="2" t="inlineStr">
        <is>
          <t>DS2522400-01*910796</t>
        </is>
      </c>
      <c r="D2334" s="2" t="inlineStr">
        <is>
          <t>Корпус Chenbro DS2522400-01*91079 DS2522400-01*91079 DS2522400-01*91079 2U,17.7",24BAY*2.5",W/PSU+SAS/SATA,8S,12G+,INTERPOSER BOARD+EXPENDER CARD+BMC MODULE+2.5" HDD TRAY,SINGLE+PALLET,8PCS/PALLET</t>
        </is>
      </c>
      <c r="E2334" s="2">
        <v>8</v>
      </c>
      <c r="F2334" s="2">
        <v>8</v>
      </c>
      <c r="H2334" s="2">
        <v>1723</v>
      </c>
      <c r="I2334" s="2" t="inlineStr">
        <is>
          <t>$</t>
        </is>
      </c>
      <c r="J2334" s="2">
        <f>HYPERLINK("https://app.astro.lead-studio.pro/product/e0a0637c-5a31-468a-aabd-226d816f0c55")</f>
      </c>
    </row>
    <row r="2335" spans="1:10" customHeight="0">
      <c r="A2335" s="2" t="inlineStr">
        <is>
          <t>JBOD</t>
        </is>
      </c>
      <c r="B2335" s="2" t="inlineStr">
        <is>
          <t>AIC</t>
        </is>
      </c>
      <c r="C2335" s="2" t="inlineStr">
        <is>
          <t>XJ1-20246-02</t>
        </is>
      </c>
      <c r="D2335" s="2" t="inlineStr">
        <is>
          <t>Корпус AIC XJ1-20246-02 2U 24x 2.5" hot-swap bays, hot-swap JBOD with dual SAS 12G expander controller, dual BMC, tool-less HDD tray, 550W 1+1 hot-swap redundant 80+ platinum, tool-less rail kit 35X series</t>
        </is>
      </c>
      <c r="E2335" s="2">
        <v>10</v>
      </c>
      <c r="F2335" s="2">
        <v>10</v>
      </c>
      <c r="H2335" s="2">
        <v>2302</v>
      </c>
      <c r="I2335" s="2" t="inlineStr">
        <is>
          <t>$</t>
        </is>
      </c>
      <c r="J2335" s="2">
        <f>HYPERLINK("https://app.astro.lead-studio.pro/product/5b23c02e-ba2a-42d3-b98f-d2548f461b02")</f>
      </c>
    </row>
    <row r="2336" spans="1:10" customHeight="0">
      <c r="A2336" s="2" t="inlineStr">
        <is>
          <t>Опции для СХД</t>
        </is>
      </c>
      <c r="B2336" s="2" t="inlineStr">
        <is>
          <t>Infortrend</t>
        </is>
      </c>
      <c r="C2336" s="2" t="inlineStr">
        <is>
          <t>9681CPSU-0010</t>
        </is>
      </c>
      <c r="D2336" s="2" t="inlineStr">
        <is>
          <t>Блок питания Infortrend Power Supply 1200W unit with FAN module, 9681CPSU-0010</t>
        </is>
      </c>
      <c r="E2336" s="2">
        <v>2</v>
      </c>
      <c r="F2336" s="2">
        <v>2</v>
      </c>
      <c r="H2336" s="2">
        <v>1019</v>
      </c>
      <c r="I2336" s="2" t="inlineStr">
        <is>
          <t>$</t>
        </is>
      </c>
      <c r="J2336" s="2">
        <f>HYPERLINK("https://app.astro.lead-studio.pro/product/fbd68e6c-1eb3-44d5-a89e-a4c45abf9bd9")</f>
      </c>
    </row>
    <row r="2337" spans="1:10" customHeight="0">
      <c r="A2337" s="2" t="inlineStr">
        <is>
          <t>Опции для СХД</t>
        </is>
      </c>
      <c r="B2337" s="2" t="inlineStr">
        <is>
          <t>Infortrend</t>
        </is>
      </c>
      <c r="C2337" s="2" t="inlineStr">
        <is>
          <t>RES25G3HIO2-0010</t>
        </is>
      </c>
      <c r="D2337" s="2" t="inlineStr">
        <is>
          <t>Плата интерфейсная Infortrend EonStor RES25G3HIO2-0010 host board with 2 x 25 Gb/s iSCSI ports (SFP28), type2</t>
        </is>
      </c>
      <c r="E2337" s="2">
        <v>4</v>
      </c>
      <c r="F2337" s="2">
        <v>4</v>
      </c>
      <c r="H2337" s="2">
        <v>822</v>
      </c>
      <c r="I2337" s="2" t="inlineStr">
        <is>
          <t>$</t>
        </is>
      </c>
      <c r="J2337" s="2">
        <f>HYPERLINK("https://app.astro.lead-studio.pro/product/31456faf-296d-4ee2-9c2c-9152298e6ce5")</f>
      </c>
    </row>
    <row r="2338" spans="1:10" customHeight="0">
      <c r="A2338" s="2" t="inlineStr">
        <is>
          <t>Опции для СХД</t>
        </is>
      </c>
      <c r="B2338" s="2" t="inlineStr">
        <is>
          <t>Infortrend</t>
        </is>
      </c>
      <c r="C2338" s="2" t="inlineStr">
        <is>
          <t>RFC16G1HIO4-0010</t>
        </is>
      </c>
      <c r="D2338" s="2" t="inlineStr">
        <is>
          <t>Плата интерфейсная Infortrend EonStor RFC16G1HIO4 host board with 4x 16Gbps FC ports, type2 (632242)</t>
        </is>
      </c>
      <c r="E2338" s="2">
        <v>9</v>
      </c>
      <c r="F2338" s="2">
        <v>9</v>
      </c>
      <c r="H2338" s="2">
        <v>1578</v>
      </c>
      <c r="I2338" s="2" t="inlineStr">
        <is>
          <t>$</t>
        </is>
      </c>
      <c r="J2338" s="2">
        <f>HYPERLINK("https://app.astro.lead-studio.pro/product/8419e596-6f9d-49ef-971e-f620264ac2fb")</f>
      </c>
    </row>
    <row r="2339" spans="1:10" customHeight="0">
      <c r="A2339" s="2" t="inlineStr">
        <is>
          <t>Опции для СХД</t>
        </is>
      </c>
      <c r="B2339" s="2" t="inlineStr">
        <is>
          <t>Infortrend</t>
        </is>
      </c>
      <c r="C2339" s="2" t="inlineStr">
        <is>
          <t>RSS12G1HIO2-0010</t>
        </is>
      </c>
      <c r="D2339" s="2" t="inlineStr">
        <is>
          <t>Плата интерфейсная Infortrend EonStor RSS12G1HIO2 host board with 2x 12Gbps SAS ports, type2, (for Host Connection Only)</t>
        </is>
      </c>
      <c r="E2339" s="2">
        <v>3</v>
      </c>
      <c r="F2339" s="2">
        <v>3</v>
      </c>
      <c r="H2339" s="2">
        <v>608</v>
      </c>
      <c r="I2339" s="2" t="inlineStr">
        <is>
          <t>$</t>
        </is>
      </c>
      <c r="J2339" s="2">
        <f>HYPERLINK("https://app.astro.lead-studio.pro/product/ee85f950-61b3-47f5-ac68-c4d01fe74a91")</f>
      </c>
    </row>
    <row r="2340" spans="1:10" customHeight="0">
      <c r="A2340" s="2" t="inlineStr">
        <is>
          <t>Опции для СХД</t>
        </is>
      </c>
      <c r="B2340" s="2" t="inlineStr">
        <is>
          <t>Infortrend</t>
        </is>
      </c>
      <c r="C2340" s="2" t="inlineStr">
        <is>
          <t>RSS12J1HIO2-0010</t>
        </is>
      </c>
      <c r="D2340" s="2" t="inlineStr">
        <is>
          <t>Плата интерфейсная Infortrend EonStor RSS12J1HIO2 expansion board for expansion enclosure with 2x 12Gb SAS ports, type2</t>
        </is>
      </c>
      <c r="E2340" s="2">
        <v>5</v>
      </c>
      <c r="F2340" s="2">
        <v>5</v>
      </c>
      <c r="H2340" s="2">
        <v>611</v>
      </c>
      <c r="I2340" s="2" t="inlineStr">
        <is>
          <t>$</t>
        </is>
      </c>
      <c r="J2340" s="2">
        <f>HYPERLINK("https://app.astro.lead-studio.pro/product/67b6bbe8-09bc-4026-9296-e74613ec6ac5")</f>
      </c>
    </row>
    <row r="2341" spans="1:10" customHeight="0">
      <c r="A2341" s="2" t="inlineStr">
        <is>
          <t>СХД</t>
        </is>
      </c>
      <c r="B2341" s="2" t="inlineStr">
        <is>
          <t>Infortrend</t>
        </is>
      </c>
      <c r="C2341" s="2" t="inlineStr">
        <is>
          <t>CS2060D00000J-8U32</t>
        </is>
      </c>
      <c r="D2341" s="2" t="inlineStr">
        <is>
          <t>Сетевой накопитель Infortrend CS 2060D-J 4U/60bay, scale-out NAS, dual nodes subsystem including 2x4 Core CPU, 128GB (8x16GB), 8x10GbE(SFP+), 4x12Gb/s SAS EXP. Ports, 2x(PSU+FAN), 2x(SuperCap.+flash), 60 x 3.5" drive trays and rackmount kit, scale out to 144 nodes (w/o 2.5")</t>
        </is>
      </c>
      <c r="E2341" s="2">
        <v>1</v>
      </c>
      <c r="F2341" s="2">
        <v>1</v>
      </c>
      <c r="H2341" s="2">
        <v>25092</v>
      </c>
      <c r="I2341" s="2" t="inlineStr">
        <is>
          <t>$</t>
        </is>
      </c>
      <c r="J2341" s="2">
        <f>HYPERLINK("https://app.astro.lead-studio.pro/product/b7b35c77-5c5a-4c34-a15e-621840446e9f")</f>
      </c>
    </row>
    <row r="2342" spans="1:10" customHeight="0">
      <c r="A2342" s="2" t="inlineStr">
        <is>
          <t>СХД</t>
        </is>
      </c>
      <c r="B2342" s="2" t="inlineStr">
        <is>
          <t>Infortrend</t>
        </is>
      </c>
      <c r="C2342" s="2" t="inlineStr">
        <is>
          <t>CS3024G00000J-8U32</t>
        </is>
      </c>
      <c r="D2342" s="2" t="inlineStr">
        <is>
          <t>Сетевой накопитель Infortrend CS 3024G-J 4U/24bay, scale-out NAS, single node subsystem including 1x 8 core CPU, 64GB (4x16GB) memory, 4x10GbE(SFP+), 2x12Gb/s SAS EXP. Ports, 2x(PSU+FAN module), 1x(SuperCap.+flash module), 24xdrive trays and rack mount kit, scale out to 144 nodes</t>
        </is>
      </c>
      <c r="E2342" s="2">
        <v>1</v>
      </c>
      <c r="F2342" s="2">
        <v>1</v>
      </c>
      <c r="H2342" s="2">
        <v>11978</v>
      </c>
      <c r="I2342" s="2" t="inlineStr">
        <is>
          <t>$</t>
        </is>
      </c>
      <c r="J2342" s="2">
        <f>HYPERLINK("https://app.astro.lead-studio.pro/product/562a2513-1b6b-4cd7-b584-b37eb937662e")</f>
      </c>
    </row>
    <row r="2343" spans="1:10" customHeight="0">
      <c r="A2343" s="2" t="inlineStr">
        <is>
          <t>СХД</t>
        </is>
      </c>
      <c r="B2343" s="2" t="inlineStr">
        <is>
          <t>QNAP</t>
        </is>
      </c>
      <c r="C2343" s="2" t="inlineStr">
        <is>
          <t>D4 (Rev. C)</t>
        </is>
      </c>
      <c r="D2343" s="2" t="inlineStr">
        <is>
          <t>Сетевой накопитель QNAP D4 (Rev. C) </t>
        </is>
      </c>
      <c r="E2343" s="2">
        <v>44</v>
      </c>
      <c r="F2343" s="2">
        <v>44</v>
      </c>
      <c r="H2343" s="2">
        <v>671</v>
      </c>
      <c r="I2343" s="2" t="inlineStr">
        <is>
          <t>$</t>
        </is>
      </c>
      <c r="J2343" s="2">
        <f>HYPERLINK("https://app.astro.lead-studio.pro/product/e4fecb5b-74fc-411a-b0a7-c79e70b32a48")</f>
      </c>
    </row>
    <row r="2344" spans="1:10" customHeight="0">
      <c r="A2344" s="2" t="inlineStr">
        <is>
          <t>СХД</t>
        </is>
      </c>
      <c r="B2344" s="2" t="inlineStr">
        <is>
          <t>Infortrend</t>
        </is>
      </c>
      <c r="C2344" s="2" t="inlineStr">
        <is>
          <t>DS2012R2C000C-8U32</t>
        </is>
      </c>
      <c r="D2344" s="2" t="inlineStr">
        <is>
          <t>Платформа СХД Infortrend DS1016R2C000C-8U32  EonStor DS 1000 Gen2 3U/16bay, High IOPS solutions, Dual Redundant controller subsystem including 2x12Gb SAS EXP. Port, 8x1G  iSCSI ports + 2x host board slot(s), 2x4GB, 2x(PSU+FAN Module), 2x (Super capacitor+Flash module), 16xdrive trays and 1xRackmount</t>
        </is>
      </c>
      <c r="E2344" s="2">
        <v>1</v>
      </c>
      <c r="F2344" s="2">
        <v>1</v>
      </c>
      <c r="H2344" s="2">
        <v>7983</v>
      </c>
      <c r="I2344" s="2" t="inlineStr">
        <is>
          <t>$</t>
        </is>
      </c>
      <c r="J2344" s="2">
        <f>HYPERLINK("https://app.astro.lead-studio.pro/product/001d8197-08a3-49d7-81fe-739952bf993d")</f>
      </c>
    </row>
    <row r="2345" spans="1:10" customHeight="0">
      <c r="A2345" s="2" t="inlineStr">
        <is>
          <t>СХД</t>
        </is>
      </c>
      <c r="B2345" s="2" t="inlineStr">
        <is>
          <t>NetApp</t>
        </is>
      </c>
      <c r="C2345" s="2" t="inlineStr">
        <is>
          <t>FAS2750_24384</t>
        </is>
      </c>
      <c r="D2345" s="2" t="inlineStr">
        <is>
          <t>СХД NetApp FAS2750 HFA System 2U, 24x3.84TB SSD SAS, 64GB, 1GB FLASH NVMe, 8x 16Gb FC/iSCSI 10Gb port, 8x SFP FC16, ONTAP</t>
        </is>
      </c>
      <c r="E2345" s="2">
        <v>1</v>
      </c>
      <c r="F2345" s="2">
        <v>1</v>
      </c>
      <c r="H2345" s="2">
        <v>68178</v>
      </c>
      <c r="I2345" s="2" t="inlineStr">
        <is>
          <t>$</t>
        </is>
      </c>
      <c r="J2345" s="2">
        <f>HYPERLINK("https://app.astro.lead-studio.pro/product/40d43428-cd2f-4f28-821c-b0b5da418b9e")</f>
      </c>
    </row>
    <row r="2346" spans="1:10" customHeight="0">
      <c r="A2346" s="2" t="inlineStr">
        <is>
          <t>СХД</t>
        </is>
      </c>
      <c r="B2346" s="2" t="inlineStr">
        <is>
          <t>Infortrend</t>
        </is>
      </c>
      <c r="C2346" s="2" t="inlineStr">
        <is>
          <t>GS2016RTC0F0D-8U32</t>
        </is>
      </c>
      <c r="D2346" s="2" t="inlineStr">
        <is>
          <t>Платформа СХД Infortrend EonStor GS2016RTC0F0D-8U32 (16x3.5, 3U, High IOPS, Dual Redundant Controller incl: 4x4GB Cache, 8x1Gb iSCSI RJ-45, 4 FREE host board slots, 2x12Gb SAS ext ports, 2x(PSU 460W +FAN/SuperCap.+Flash module), Rackmount kit)</t>
        </is>
      </c>
      <c r="E2346" s="2">
        <v>1</v>
      </c>
      <c r="F2346" s="2">
        <v>1</v>
      </c>
      <c r="H2346" s="2">
        <v>13896</v>
      </c>
      <c r="I2346" s="2" t="inlineStr">
        <is>
          <t>$</t>
        </is>
      </c>
      <c r="J2346" s="2">
        <f>HYPERLINK("https://app.astro.lead-studio.pro/product/bea2abb7-478d-4976-8c8a-947f30d7acc3")</f>
      </c>
    </row>
    <row r="2347" spans="1:10" customHeight="0">
      <c r="A2347" s="2" t="inlineStr">
        <is>
          <t>СХД</t>
        </is>
      </c>
      <c r="B2347" s="2" t="inlineStr">
        <is>
          <t>Infortrend</t>
        </is>
      </c>
      <c r="C2347" s="2" t="inlineStr">
        <is>
          <t>GS2024R01C0FD-8U32</t>
        </is>
      </c>
      <c r="D2347" s="2" t="inlineStr">
        <is>
          <t>Платформа СХД Infortrend GS2016R01C0FD-8U32  EonStor GS 2000 3U/16bay, cloud-integrated unified storage, supports NAS, block, object storage and cloud gateway, dual redundant co ntroller subsystem including 2x12Gb/s SAS EXP. ports, 8x1G iSCSI ports +4x host board slot(s), 4x4GB, 2x(PSU+FAN Module), </t>
        </is>
      </c>
      <c r="E2347" s="2">
        <v>1</v>
      </c>
      <c r="F2347" s="2">
        <v>1</v>
      </c>
      <c r="H2347" s="2">
        <v>17013</v>
      </c>
      <c r="I2347" s="2" t="inlineStr">
        <is>
          <t>$</t>
        </is>
      </c>
      <c r="J2347" s="2">
        <f>HYPERLINK("https://app.astro.lead-studio.pro/product/b237c44b-4224-40ff-aa95-e5bfd34dafdf")</f>
      </c>
    </row>
    <row r="2348" spans="1:10" customHeight="0">
      <c r="A2348" s="2" t="inlineStr">
        <is>
          <t>СХД</t>
        </is>
      </c>
      <c r="B2348" s="2" t="inlineStr">
        <is>
          <t>Infortrend</t>
        </is>
      </c>
      <c r="C2348" s="2" t="inlineStr">
        <is>
          <t>GS3016R03C0FD-8U32</t>
        </is>
      </c>
      <c r="D2348" s="2" t="inlineStr">
        <is>
          <t>Платформа СХД Infortrend EonStor GS3016R03C0FD-8U32 (16x3.5, 3U, High IOPS, Dual Redundant Controllers (incl: 4x4GB Cache, 4x25Gb SFP28, 4 FREE host board slots, 4x12Gb SAS ext ports, 2x Super capacitor+Flash+FAN module, 2x530W), Rackmount kit)</t>
        </is>
      </c>
      <c r="E2348" s="2">
        <v>1</v>
      </c>
      <c r="F2348" s="2">
        <v>1</v>
      </c>
      <c r="H2348" s="2">
        <v>18368</v>
      </c>
      <c r="I2348" s="2" t="inlineStr">
        <is>
          <t>$</t>
        </is>
      </c>
      <c r="J2348" s="2">
        <f>HYPERLINK("https://app.astro.lead-studio.pro/product/fba81b6c-f939-4da7-ad7d-51b8f48bafd6")</f>
      </c>
    </row>
    <row r="2349" spans="1:10" customHeight="0">
      <c r="A2349" s="2" t="inlineStr">
        <is>
          <t>СХД</t>
        </is>
      </c>
      <c r="B2349" s="2" t="inlineStr">
        <is>
          <t>Infortrend</t>
        </is>
      </c>
      <c r="C2349" s="2" t="inlineStr">
        <is>
          <t>GSE101620000D-8U32</t>
        </is>
      </c>
      <c r="D2349" s="2" t="inlineStr">
        <is>
          <t>Сетевой накопитель Infortrend GSe 10162-D 3U/16bay, supports NAS, block, object storage and cloud gateway, sing le controller subsystem including 1x12Gb SAS EXP. Port, 4x1G iSCSI ports +1x host board slot(s), 2x4GB, 2x(PSU+FAN Module ), 16xdrive trays and 1xRackmount kit</t>
        </is>
      </c>
      <c r="E2349" s="2">
        <v>3</v>
      </c>
      <c r="F2349" s="2">
        <v>3</v>
      </c>
      <c r="H2349" s="2">
        <v>5066</v>
      </c>
      <c r="I2349" s="2" t="inlineStr">
        <is>
          <t>$</t>
        </is>
      </c>
      <c r="J2349" s="2">
        <f>HYPERLINK("https://app.astro.lead-studio.pro/product/376b72b9-02d9-47ff-862d-edf1ebfd4657")</f>
      </c>
    </row>
    <row r="2350" spans="1:10" customHeight="0">
      <c r="A2350" s="2" t="inlineStr">
        <is>
          <t>СХД</t>
        </is>
      </c>
      <c r="B2350" s="2" t="inlineStr">
        <is>
          <t>Infortrend</t>
        </is>
      </c>
      <c r="C2350" s="2" t="inlineStr">
        <is>
          <t>GSE301203000D-8U32</t>
        </is>
      </c>
      <c r="D2350" s="2" t="inlineStr">
        <is>
          <t>Сетевой накопитель Infortrend GSe 30123-D G3 2U/12bay, supports NAS, SAN, object protocol and cloud gateway, single controller subsystem including 2x12Gb/s SAS EXP. ports, 2x25GbE ports(SFP28) + 2x host board slots, 2x4GB memory, 2x(PSU+ fan module), 12xdrive trays and 1xRackmount kit</t>
        </is>
      </c>
      <c r="E2350" s="2">
        <v>3</v>
      </c>
      <c r="F2350" s="2">
        <v>3</v>
      </c>
      <c r="H2350" s="2">
        <v>7570</v>
      </c>
      <c r="I2350" s="2" t="inlineStr">
        <is>
          <t>$</t>
        </is>
      </c>
      <c r="J2350" s="2">
        <f>HYPERLINK("https://app.astro.lead-studio.pro/product/7c1b575f-0626-4ef8-a67a-f2475c5e3387")</f>
      </c>
    </row>
    <row r="2351" spans="1:10" customHeight="0">
      <c r="A2351" s="2" t="inlineStr">
        <is>
          <t>СХД</t>
        </is>
      </c>
      <c r="B2351" s="2" t="inlineStr">
        <is>
          <t>Infortrend</t>
        </is>
      </c>
      <c r="C2351" s="2" t="inlineStr">
        <is>
          <t>GSEP100400RPC-8U52</t>
        </is>
      </c>
      <c r="D2351" s="2" t="inlineStr">
        <is>
          <t>Сетевой накопитель Infortrend GSe Pro 1004RP-C 1U/4bay, supports NAS, SAN, object protocol and cloud gateway, Single controller subsystem including 4x1G iSCSI ports, 2xUSB 3.0, 2x USB 2.0, 1x4GB, 2x(PSU+FAN Module), 4x drive trays (only supports SATA drives) and 1xRackmount kit</t>
        </is>
      </c>
      <c r="E2351" s="2">
        <v>2</v>
      </c>
      <c r="F2351" s="2">
        <v>2</v>
      </c>
      <c r="H2351" s="2">
        <v>2073</v>
      </c>
      <c r="I2351" s="2" t="inlineStr">
        <is>
          <t>$</t>
        </is>
      </c>
      <c r="J2351" s="2">
        <f>HYPERLINK("https://app.astro.lead-studio.pro/product/ab24b313-213f-46f0-93e3-d3d16caeff04")</f>
      </c>
    </row>
    <row r="2352" spans="1:10" customHeight="0">
      <c r="A2352" s="2" t="inlineStr">
        <is>
          <t>СХД</t>
        </is>
      </c>
      <c r="B2352" s="2" t="inlineStr">
        <is>
          <t>Infortrend</t>
        </is>
      </c>
      <c r="C2352" s="2" t="inlineStr">
        <is>
          <t>GSEP100400SPC-8U52</t>
        </is>
      </c>
      <c r="D2352" s="2" t="inlineStr">
        <is>
          <t>Сетевой накопитель Infortrend GSe Pro 1004SP-C 1U/4bay, supports NAS, SAN, object protocol and cloud gateway, Single controller subsystem including 4x1G iSCSI ports, 2xUSB 3.0, 2x USB 2.0, 1x4GB, 1x(PSU+FAN Module), 4x drive trays (only supports SATA drives) and 1xRackmount kit</t>
        </is>
      </c>
      <c r="E2352" s="2">
        <v>2</v>
      </c>
      <c r="F2352" s="2">
        <v>2</v>
      </c>
      <c r="H2352" s="2">
        <v>1858</v>
      </c>
      <c r="I2352" s="2" t="inlineStr">
        <is>
          <t>$</t>
        </is>
      </c>
      <c r="J2352" s="2">
        <f>HYPERLINK("https://app.astro.lead-studio.pro/product/52b0c635-8a93-4b9c-916e-7750ddb1e79d")</f>
      </c>
    </row>
    <row r="2353" spans="1:10" customHeight="0">
      <c r="A2353" s="2" t="inlineStr">
        <is>
          <t>СХД</t>
        </is>
      </c>
      <c r="B2353" s="2" t="inlineStr">
        <is>
          <t>Infortrend</t>
        </is>
      </c>
      <c r="C2353" s="2" t="inlineStr">
        <is>
          <t>GSEP1080000C-8U32</t>
        </is>
      </c>
      <c r="D2353" s="2" t="inlineStr">
        <is>
          <t>Сетевой накопитель Infortrend GSe Pro 108-C 8bay, supports NAS, SAN, object protocol and Cloud gateway, including Intel Atom 2.4GHz 4C CPU, 1x4GB non-ECC, 4x1GbE(RJ45), 2x USB 2.0, 2x USB 3.0, 1x Host Board slot, 1xPSU and 8 drive trays</t>
        </is>
      </c>
      <c r="E2353" s="2">
        <v>3</v>
      </c>
      <c r="F2353" s="2">
        <v>3</v>
      </c>
      <c r="H2353" s="2">
        <v>1555</v>
      </c>
      <c r="I2353" s="2" t="inlineStr">
        <is>
          <t>$</t>
        </is>
      </c>
      <c r="J2353" s="2">
        <f>HYPERLINK("https://app.astro.lead-studio.pro/product/880e3b4d-9365-41e9-8f7c-7cc5daf1693a")</f>
      </c>
    </row>
    <row r="2354" spans="1:10" customHeight="0">
      <c r="A2354" s="2" t="inlineStr">
        <is>
          <t>СХД</t>
        </is>
      </c>
      <c r="B2354" s="2" t="inlineStr">
        <is>
          <t>Infortrend</t>
        </is>
      </c>
      <c r="C2354" s="2" t="inlineStr">
        <is>
          <t>GSEP2050000D-8U32</t>
        </is>
      </c>
      <c r="D2354" s="2" t="inlineStr">
        <is>
          <t>Сетевой накопитель Infortrend GSe Pro 205-D 5bay, supports NAS, block, object storage and cloud gateway, including Intel D1508 2.2 GHz 2C CPU, 2x4GB, 2 x10GbE SFP+, 2 x 1GbE, 2 x USB 3.1 Gen2, 2 x USB 3.0, 2 x host board slot (s), 1xPSU and 5xdrive trays</t>
        </is>
      </c>
      <c r="E2354" s="2">
        <v>1</v>
      </c>
      <c r="F2354" s="2">
        <v>1</v>
      </c>
      <c r="H2354" s="2">
        <v>1742</v>
      </c>
      <c r="I2354" s="2" t="inlineStr">
        <is>
          <t>$</t>
        </is>
      </c>
      <c r="J2354" s="2">
        <f>HYPERLINK("https://app.astro.lead-studio.pro/product/ec9e5b42-2d64-4b49-bac5-f1f59b8b73a8")</f>
      </c>
    </row>
    <row r="2355" spans="1:10" customHeight="0">
      <c r="A2355" s="2" t="inlineStr">
        <is>
          <t>СХД</t>
        </is>
      </c>
      <c r="B2355" s="2" t="inlineStr">
        <is>
          <t>Infortrend</t>
        </is>
      </c>
      <c r="C2355" s="2" t="inlineStr">
        <is>
          <t>GSEP205T000D-8U32</t>
        </is>
      </c>
      <c r="D2355" s="2" t="inlineStr">
        <is>
          <t>Платформа СХД Infortrend EonStor GSe Pro 200 5bay, High IOPS Solution, desktop cloud-integrated unified storage, including: Intel D1517, 2x4GB, 2x 10GbE SFP+, 2x 1GbE, 2x USB 3.1 Gen2, 2x USB 3.0, 2x host board slot(s), 1xPSU and 5x drive trays</t>
        </is>
      </c>
      <c r="E2355" s="2">
        <v>4</v>
      </c>
      <c r="F2355" s="2">
        <v>4</v>
      </c>
      <c r="H2355" s="2">
        <v>1940</v>
      </c>
      <c r="I2355" s="2" t="inlineStr">
        <is>
          <t>$</t>
        </is>
      </c>
      <c r="J2355" s="2">
        <f>HYPERLINK("https://app.astro.lead-studio.pro/product/b9e527c2-8760-47b3-b8ad-108fe70c4810")</f>
      </c>
    </row>
    <row r="2356" spans="1:10" customHeight="0">
      <c r="A2356" s="2" t="inlineStr">
        <is>
          <t>СХД</t>
        </is>
      </c>
      <c r="B2356" s="2" t="inlineStr">
        <is>
          <t>Infortrend</t>
        </is>
      </c>
      <c r="C2356" s="2" t="inlineStr">
        <is>
          <t>GSI5016GU000F-8U52</t>
        </is>
      </c>
      <c r="D2356" s="2" t="inlineStr">
        <is>
          <t>Сетевой накопитель Infortrend GSi 5016GU-F 3U/16bay, single controller system including 1xIntel Xeon E-2278GE CPU, 2x8GB memory, 1x12Gb/s SAS EXP ports, 4x1GbE LAN ports, 2xGraphic card slots, 2x(PSU+FAN Module), 16xHDD trays and 1xRackmount kit</t>
        </is>
      </c>
      <c r="E2356" s="2">
        <v>1</v>
      </c>
      <c r="F2356" s="2">
        <v>1</v>
      </c>
      <c r="H2356" s="2">
        <v>8226</v>
      </c>
      <c r="I2356" s="2" t="inlineStr">
        <is>
          <t>$</t>
        </is>
      </c>
      <c r="J2356" s="2">
        <f>HYPERLINK("https://app.astro.lead-studio.pro/product/eb0e5dcc-efbc-487f-b7e2-c1a4d289fb04")</f>
      </c>
    </row>
    <row r="2357" spans="1:10" customHeight="0">
      <c r="A2357" s="2" t="inlineStr">
        <is>
          <t>СХД</t>
        </is>
      </c>
      <c r="B2357" s="2" t="inlineStr">
        <is>
          <t>QNAP</t>
        </is>
      </c>
      <c r="C2357" s="2" t="inlineStr">
        <is>
          <t>HS-453DX-8G</t>
        </is>
      </c>
      <c r="D2357" s="2" t="inlineStr">
        <is>
          <t>Сетевой накопитель QNAP HS-453DX-8G</t>
        </is>
      </c>
      <c r="E2357" s="2">
        <v>3</v>
      </c>
      <c r="F2357" s="2">
        <v>3</v>
      </c>
      <c r="H2357" s="2">
        <v>2191</v>
      </c>
      <c r="I2357" s="2" t="inlineStr">
        <is>
          <t>$</t>
        </is>
      </c>
      <c r="J2357" s="2">
        <f>HYPERLINK("https://app.astro.lead-studio.pro/product/38e83f1f-1613-4839-90e3-a8a6d28edacd")</f>
      </c>
    </row>
    <row r="2358" spans="1:10" customHeight="0">
      <c r="A2358" s="2" t="inlineStr">
        <is>
          <t>СХД</t>
        </is>
      </c>
      <c r="B2358" s="2" t="inlineStr">
        <is>
          <t>HPE</t>
        </is>
      </c>
      <c r="C2358" s="2" t="inlineStr">
        <is>
          <t>R0Q40B</t>
        </is>
      </c>
      <c r="D2358" s="2" t="inlineStr">
        <is>
          <t>Система хранения данных (СХД) HPE MSA2060 SAS 12Gb 2U 12-disk LFF Drive Enclosure, (up to 12x2.5), 2xPSU, Rackmount Kit, 1Y </t>
        </is>
      </c>
      <c r="E2358" s="2">
        <v>2</v>
      </c>
      <c r="F2358" s="2">
        <v>2</v>
      </c>
      <c r="H2358" s="2">
        <v>7717</v>
      </c>
      <c r="I2358" s="2" t="inlineStr">
        <is>
          <t>$</t>
        </is>
      </c>
      <c r="J2358" s="2">
        <f>HYPERLINK("https://app.astro.lead-studio.pro/product/2cb5eb02-397e-4332-baf2-83dd67efc1c2")</f>
      </c>
    </row>
    <row r="2359" spans="1:10" customHeight="0">
      <c r="A2359" s="2" t="inlineStr">
        <is>
          <t>СХД</t>
        </is>
      </c>
      <c r="B2359" s="2" t="inlineStr">
        <is>
          <t>QNAP</t>
        </is>
      </c>
      <c r="C2359" s="2" t="inlineStr">
        <is>
          <t>TBS-464-8G</t>
        </is>
      </c>
      <c r="D2359" s="2" t="inlineStr">
        <is>
          <t>Сетевой накопитель QNAP TBS-464</t>
        </is>
      </c>
      <c r="E2359" s="2">
        <v>8</v>
      </c>
      <c r="F2359" s="2">
        <v>8</v>
      </c>
      <c r="H2359" s="2">
        <v>1929</v>
      </c>
      <c r="I2359" s="2" t="inlineStr">
        <is>
          <t>$</t>
        </is>
      </c>
      <c r="J2359" s="2">
        <f>HYPERLINK("https://app.astro.lead-studio.pro/product/5991d6e7-e389-4375-b52e-0364bd2f59eb")</f>
      </c>
    </row>
    <row r="2360" spans="1:10" customHeight="0">
      <c r="A2360" s="2" t="inlineStr">
        <is>
          <t>СХД</t>
        </is>
      </c>
      <c r="B2360" s="2" t="inlineStr">
        <is>
          <t>QNAP</t>
        </is>
      </c>
      <c r="C2360" s="2" t="inlineStr">
        <is>
          <t>TL-D800C</t>
        </is>
      </c>
      <c r="D2360" s="2" t="inlineStr">
        <is>
          <t>Сетевой накопитель QNAP TL-D800C </t>
        </is>
      </c>
      <c r="E2360" s="2">
        <v>2</v>
      </c>
      <c r="F2360" s="2">
        <v>2</v>
      </c>
      <c r="H2360" s="2">
        <v>1556</v>
      </c>
      <c r="I2360" s="2" t="inlineStr">
        <is>
          <t>$</t>
        </is>
      </c>
      <c r="J2360" s="2">
        <f>HYPERLINK("https://app.astro.lead-studio.pro/product/caab5c03-2663-40fb-b138-826e4b952f76")</f>
      </c>
    </row>
    <row r="2361" spans="1:10" customHeight="0">
      <c r="A2361" s="2" t="inlineStr">
        <is>
          <t>СХД</t>
        </is>
      </c>
      <c r="B2361" s="2" t="inlineStr">
        <is>
          <t>QNAP</t>
        </is>
      </c>
      <c r="C2361" s="2" t="inlineStr">
        <is>
          <t>TL-D800S</t>
        </is>
      </c>
      <c r="D2361" s="2" t="inlineStr">
        <is>
          <t>Сетевой накопитель QNAP TS-133 </t>
        </is>
      </c>
      <c r="E2361" s="2">
        <v>2</v>
      </c>
      <c r="F2361" s="2">
        <v>2</v>
      </c>
      <c r="H2361" s="2">
        <v>1897</v>
      </c>
      <c r="I2361" s="2" t="inlineStr">
        <is>
          <t>$</t>
        </is>
      </c>
      <c r="J2361" s="2">
        <f>HYPERLINK("https://app.astro.lead-studio.pro/product/aa4b364f-ac65-4e60-8e93-284c16ad4130")</f>
      </c>
    </row>
    <row r="2362" spans="1:10" customHeight="0">
      <c r="A2362" s="2" t="inlineStr">
        <is>
          <t>СХД</t>
        </is>
      </c>
      <c r="B2362" s="2" t="inlineStr">
        <is>
          <t>QNAP</t>
        </is>
      </c>
      <c r="C2362" s="2" t="inlineStr">
        <is>
          <t>TL-R1200C-RP</t>
        </is>
      </c>
      <c r="D2362" s="2" t="inlineStr">
        <is>
          <t>Сетевой накопитель QNAP TL-R1200C-RP </t>
        </is>
      </c>
      <c r="E2362" s="2">
        <v>1</v>
      </c>
      <c r="F2362" s="2">
        <v>1</v>
      </c>
      <c r="H2362" s="2">
        <v>2900</v>
      </c>
      <c r="I2362" s="2" t="inlineStr">
        <is>
          <t>$</t>
        </is>
      </c>
      <c r="J2362" s="2">
        <f>HYPERLINK("https://app.astro.lead-studio.pro/product/38b55dba-12d2-46da-b674-9bd3ebd8da68")</f>
      </c>
    </row>
    <row r="2363" spans="1:10" customHeight="0">
      <c r="A2363" s="2" t="inlineStr">
        <is>
          <t>СХД</t>
        </is>
      </c>
      <c r="B2363" s="2" t="inlineStr">
        <is>
          <t>QNAP</t>
        </is>
      </c>
      <c r="C2363" s="2" t="inlineStr">
        <is>
          <t>TL-R1200S-RP</t>
        </is>
      </c>
      <c r="D2363" s="2" t="inlineStr">
        <is>
          <t>Сетевой накопитель QNAP TL-R1200S-RP</t>
        </is>
      </c>
      <c r="E2363" s="2">
        <v>1</v>
      </c>
      <c r="F2363" s="2">
        <v>1</v>
      </c>
      <c r="H2363" s="2">
        <v>3130</v>
      </c>
      <c r="I2363" s="2" t="inlineStr">
        <is>
          <t>$</t>
        </is>
      </c>
      <c r="J2363" s="2">
        <f>HYPERLINK("https://app.astro.lead-studio.pro/product/94774088-30a2-4ec3-99f0-a739100877af")</f>
      </c>
    </row>
    <row r="2364" spans="1:10" customHeight="0">
      <c r="A2364" s="2" t="inlineStr">
        <is>
          <t>СХД</t>
        </is>
      </c>
      <c r="B2364" s="2" t="inlineStr">
        <is>
          <t>QNAP</t>
        </is>
      </c>
      <c r="C2364" s="2" t="inlineStr">
        <is>
          <t>TL-R400S</t>
        </is>
      </c>
      <c r="D2364" s="2" t="inlineStr">
        <is>
          <t>Сетевой накопитель QNAP TL-R400S</t>
        </is>
      </c>
      <c r="E2364" s="2">
        <v>1</v>
      </c>
      <c r="F2364" s="2">
        <v>1</v>
      </c>
      <c r="H2364" s="2">
        <v>1269</v>
      </c>
      <c r="I2364" s="2" t="inlineStr">
        <is>
          <t>$</t>
        </is>
      </c>
      <c r="J2364" s="2">
        <f>HYPERLINK("https://app.astro.lead-studio.pro/product/43007a83-b921-46c1-9e98-d43d256d0fe4")</f>
      </c>
    </row>
    <row r="2365" spans="1:10" customHeight="0">
      <c r="A2365" s="2" t="inlineStr">
        <is>
          <t>СХД</t>
        </is>
      </c>
      <c r="B2365" s="2" t="inlineStr">
        <is>
          <t>QNAP</t>
        </is>
      </c>
      <c r="C2365" s="2" t="inlineStr">
        <is>
          <t>TS-1264U-RP-8G</t>
        </is>
      </c>
      <c r="D2365" s="2" t="inlineStr">
        <is>
          <t>Сетевой накопитель QNAP TS-1264U-RP-8G </t>
        </is>
      </c>
      <c r="E2365" s="2">
        <v>1</v>
      </c>
      <c r="F2365" s="2">
        <v>1</v>
      </c>
      <c r="H2365" s="2">
        <v>6918</v>
      </c>
      <c r="I2365" s="2" t="inlineStr">
        <is>
          <t>$</t>
        </is>
      </c>
      <c r="J2365" s="2">
        <f>HYPERLINK("https://app.astro.lead-studio.pro/product/11f7642a-65e8-4932-8882-aa15a9bf03f7")</f>
      </c>
    </row>
    <row r="2366" spans="1:10" customHeight="0">
      <c r="A2366" s="2" t="inlineStr">
        <is>
          <t>СХД</t>
        </is>
      </c>
      <c r="B2366" s="2" t="inlineStr">
        <is>
          <t>QNAP</t>
        </is>
      </c>
      <c r="C2366" s="2" t="inlineStr">
        <is>
          <t>TS-1273AU-RP-8G</t>
        </is>
      </c>
      <c r="D2366" s="2" t="inlineStr">
        <is>
          <t>Сетевой накопитель QNAP TS-1273AU-RP-8G </t>
        </is>
      </c>
      <c r="E2366" s="2">
        <v>6</v>
      </c>
      <c r="F2366" s="2">
        <v>6</v>
      </c>
      <c r="H2366" s="2">
        <v>6945</v>
      </c>
      <c r="I2366" s="2" t="inlineStr">
        <is>
          <t>$</t>
        </is>
      </c>
      <c r="J2366" s="2">
        <f>HYPERLINK("https://app.astro.lead-studio.pro/product/643497eb-58a0-46b8-9751-86f772aca19b")</f>
      </c>
    </row>
    <row r="2367" spans="1:10" customHeight="0">
      <c r="A2367" s="2" t="inlineStr">
        <is>
          <t>СХД</t>
        </is>
      </c>
      <c r="B2367" s="2" t="inlineStr">
        <is>
          <t>QNAP</t>
        </is>
      </c>
      <c r="C2367" s="2" t="inlineStr">
        <is>
          <t>TS-1655-8G</t>
        </is>
      </c>
      <c r="D2367" s="2" t="inlineStr">
        <is>
          <t>Сетевой накопитель QNAP TS-1655-8G </t>
        </is>
      </c>
      <c r="E2367" s="2">
        <v>2</v>
      </c>
      <c r="F2367" s="2">
        <v>2</v>
      </c>
      <c r="H2367" s="2">
        <v>5882</v>
      </c>
      <c r="I2367" s="2" t="inlineStr">
        <is>
          <t>$</t>
        </is>
      </c>
      <c r="J2367" s="2">
        <f>HYPERLINK("https://app.astro.lead-studio.pro/product/6c84b537-ba6c-4436-bdf7-517c020f64dc")</f>
      </c>
    </row>
    <row r="2368" spans="1:10" customHeight="0">
      <c r="A2368" s="2" t="inlineStr">
        <is>
          <t>СХД</t>
        </is>
      </c>
      <c r="B2368" s="2" t="inlineStr">
        <is>
          <t>QNAP</t>
        </is>
      </c>
      <c r="C2368" s="2" t="inlineStr">
        <is>
          <t>TS-233</t>
        </is>
      </c>
      <c r="D2368" s="2" t="inlineStr">
        <is>
          <t>Сетевой накопитель QNAP TS-233 </t>
        </is>
      </c>
      <c r="E2368" s="2">
        <v>3</v>
      </c>
      <c r="F2368" s="2">
        <v>3</v>
      </c>
      <c r="H2368" s="2">
        <v>392</v>
      </c>
      <c r="I2368" s="2" t="inlineStr">
        <is>
          <t>$</t>
        </is>
      </c>
      <c r="J2368" s="2">
        <f>HYPERLINK("https://app.astro.lead-studio.pro/product/fdd95395-86b8-4d95-a496-d7f8e590ba8e")</f>
      </c>
    </row>
    <row r="2369" spans="1:10" customHeight="0">
      <c r="A2369" s="2" t="inlineStr">
        <is>
          <t>СХД</t>
        </is>
      </c>
      <c r="B2369" s="2" t="inlineStr">
        <is>
          <t>QNAP</t>
        </is>
      </c>
      <c r="C2369" s="2" t="inlineStr">
        <is>
          <t>TS-253E-8G</t>
        </is>
      </c>
      <c r="D2369" s="2" t="inlineStr">
        <is>
          <t>Сетевой накопитель QNAP TS-253E-8G</t>
        </is>
      </c>
      <c r="E2369" s="2">
        <v>1</v>
      </c>
      <c r="F2369" s="2">
        <v>1</v>
      </c>
      <c r="H2369" s="2">
        <v>1663</v>
      </c>
      <c r="I2369" s="2" t="inlineStr">
        <is>
          <t>$</t>
        </is>
      </c>
      <c r="J2369" s="2">
        <f>HYPERLINK("https://app.astro.lead-studio.pro/product/8de700b1-e9b2-4b8d-814f-6f1bc7e241ec")</f>
      </c>
    </row>
    <row r="2370" spans="1:10" customHeight="0">
      <c r="A2370" s="2" t="inlineStr">
        <is>
          <t>СХД</t>
        </is>
      </c>
      <c r="B2370" s="2" t="inlineStr">
        <is>
          <t>QNAP</t>
        </is>
      </c>
      <c r="C2370" s="2" t="inlineStr">
        <is>
          <t>TS-262-4G</t>
        </is>
      </c>
      <c r="D2370" s="2" t="inlineStr">
        <is>
          <t>Сетевой накопитель QNAP TS-262-4G </t>
        </is>
      </c>
      <c r="E2370" s="2">
        <v>50</v>
      </c>
      <c r="F2370" s="2">
        <v>50</v>
      </c>
      <c r="H2370" s="2">
        <v>596</v>
      </c>
      <c r="I2370" s="2" t="inlineStr">
        <is>
          <t>$</t>
        </is>
      </c>
      <c r="J2370" s="2">
        <f>HYPERLINK("https://app.astro.lead-studio.pro/product/43a9902d-244b-4cc2-8a72-8e177cf62b10")</f>
      </c>
    </row>
    <row r="2371" spans="1:10" customHeight="0">
      <c r="A2371" s="2" t="inlineStr">
        <is>
          <t>СХД</t>
        </is>
      </c>
      <c r="B2371" s="2" t="inlineStr">
        <is>
          <t>QNAP</t>
        </is>
      </c>
      <c r="C2371" s="2" t="inlineStr">
        <is>
          <t>TS-264-8G</t>
        </is>
      </c>
      <c r="D2371" s="2" t="inlineStr">
        <is>
          <t>Сетевой накопитель QNAP TS-264-8G</t>
        </is>
      </c>
      <c r="E2371" s="2">
        <v>2</v>
      </c>
      <c r="F2371" s="2">
        <v>2</v>
      </c>
      <c r="H2371" s="2">
        <v>1307</v>
      </c>
      <c r="I2371" s="2" t="inlineStr">
        <is>
          <t>$</t>
        </is>
      </c>
      <c r="J2371" s="2">
        <f>HYPERLINK("https://app.astro.lead-studio.pro/product/e3b9ea8f-21c0-48fb-b651-7e11fa3c6c73")</f>
      </c>
    </row>
    <row r="2372" spans="1:10" customHeight="0">
      <c r="A2372" s="2" t="inlineStr">
        <is>
          <t>СХД</t>
        </is>
      </c>
      <c r="B2372" s="2" t="inlineStr">
        <is>
          <t>QNAP</t>
        </is>
      </c>
      <c r="C2372" s="2" t="inlineStr">
        <is>
          <t>TS-364-8G</t>
        </is>
      </c>
      <c r="D2372" s="2" t="inlineStr">
        <is>
          <t>Сетевой накопитель QNAP TS-364-8G </t>
        </is>
      </c>
      <c r="E2372" s="2">
        <v>19</v>
      </c>
      <c r="F2372" s="2">
        <v>19</v>
      </c>
      <c r="H2372" s="2">
        <v>1480</v>
      </c>
      <c r="I2372" s="2" t="inlineStr">
        <is>
          <t>$</t>
        </is>
      </c>
      <c r="J2372" s="2">
        <f>HYPERLINK("https://app.astro.lead-studio.pro/product/6d37d259-48b8-4142-9536-70b3205ccd8a")</f>
      </c>
    </row>
    <row r="2373" spans="1:10" customHeight="0">
      <c r="A2373" s="2" t="inlineStr">
        <is>
          <t>СХД</t>
        </is>
      </c>
      <c r="B2373" s="2" t="inlineStr">
        <is>
          <t>QNAP</t>
        </is>
      </c>
      <c r="C2373" s="2" t="inlineStr">
        <is>
          <t>TS-410E-8G</t>
        </is>
      </c>
      <c r="D2373" s="2" t="inlineStr">
        <is>
          <t>Сетевой накопитель QNAP TS-410E-8G </t>
        </is>
      </c>
      <c r="E2373" s="2">
        <v>4</v>
      </c>
      <c r="F2373" s="2">
        <v>4</v>
      </c>
      <c r="H2373" s="2">
        <v>2511</v>
      </c>
      <c r="I2373" s="2" t="inlineStr">
        <is>
          <t>$</t>
        </is>
      </c>
      <c r="J2373" s="2">
        <f>HYPERLINK("https://app.astro.lead-studio.pro/product/085e6721-eaef-4429-be3a-f48becf2e703")</f>
      </c>
    </row>
    <row r="2374" spans="1:10" customHeight="0">
      <c r="A2374" s="2" t="inlineStr">
        <is>
          <t>СХД</t>
        </is>
      </c>
      <c r="B2374" s="2" t="inlineStr">
        <is>
          <t>QNAP</t>
        </is>
      </c>
      <c r="C2374" s="2" t="inlineStr">
        <is>
          <t>TS-431X3-4G</t>
        </is>
      </c>
      <c r="D2374" s="2" t="inlineStr">
        <is>
          <t>Сетевой накопитель QNAP TS-431X3-4G </t>
        </is>
      </c>
      <c r="E2374" s="2">
        <v>5</v>
      </c>
      <c r="F2374" s="2">
        <v>5</v>
      </c>
      <c r="H2374" s="2">
        <v>1729</v>
      </c>
      <c r="I2374" s="2" t="inlineStr">
        <is>
          <t>$</t>
        </is>
      </c>
      <c r="J2374" s="2">
        <f>HYPERLINK("https://app.astro.lead-studio.pro/product/dbc5177b-edd1-4952-aa93-9992653ecd50")</f>
      </c>
    </row>
    <row r="2375" spans="1:10" customHeight="0">
      <c r="A2375" s="2" t="inlineStr">
        <is>
          <t>СХД</t>
        </is>
      </c>
      <c r="B2375" s="2" t="inlineStr">
        <is>
          <t>QNAP</t>
        </is>
      </c>
      <c r="C2375" s="2" t="inlineStr">
        <is>
          <t>TS-431XeU-2G</t>
        </is>
      </c>
      <c r="D2375" s="2" t="inlineStr">
        <is>
          <t>Сетевой накопитель QNAP TS-431XeU-2G </t>
        </is>
      </c>
      <c r="E2375" s="2">
        <v>1</v>
      </c>
      <c r="F2375" s="2">
        <v>1</v>
      </c>
      <c r="H2375" s="2">
        <v>1416</v>
      </c>
      <c r="I2375" s="2" t="inlineStr">
        <is>
          <t>$</t>
        </is>
      </c>
      <c r="J2375" s="2">
        <f>HYPERLINK("https://app.astro.lead-studio.pro/product/1e4be4e8-dfd2-4dce-a779-404186bd4104")</f>
      </c>
    </row>
    <row r="2376" spans="1:10" customHeight="0">
      <c r="A2376" s="2" t="inlineStr">
        <is>
          <t>СХД</t>
        </is>
      </c>
      <c r="B2376" s="2" t="inlineStr">
        <is>
          <t>QNAP</t>
        </is>
      </c>
      <c r="C2376" s="2" t="inlineStr">
        <is>
          <t>TS-431XeU-8G</t>
        </is>
      </c>
      <c r="D2376" s="2" t="inlineStr">
        <is>
          <t>Платформа СХД QNAP TS-431XeU-8G</t>
        </is>
      </c>
      <c r="E2376" s="2">
        <v>2</v>
      </c>
      <c r="F2376" s="2">
        <v>2</v>
      </c>
      <c r="H2376" s="2">
        <v>1833</v>
      </c>
      <c r="I2376" s="2" t="inlineStr">
        <is>
          <t>$</t>
        </is>
      </c>
      <c r="J2376" s="2">
        <f>HYPERLINK("https://app.astro.lead-studio.pro/product/08fa2cc3-627f-4233-8502-b495ebd10da0")</f>
      </c>
    </row>
    <row r="2377" spans="1:10" customHeight="0">
      <c r="A2377" s="2" t="inlineStr">
        <is>
          <t>СХД</t>
        </is>
      </c>
      <c r="B2377" s="2" t="inlineStr">
        <is>
          <t>QNAP</t>
        </is>
      </c>
      <c r="C2377" s="2" t="inlineStr">
        <is>
          <t>TS-432PXU-2G</t>
        </is>
      </c>
      <c r="D2377" s="2" t="inlineStr">
        <is>
          <t>Сетевой накопитель QNAP TS-432PXU-2G </t>
        </is>
      </c>
      <c r="E2377" s="2">
        <v>1</v>
      </c>
      <c r="F2377" s="2">
        <v>1</v>
      </c>
      <c r="H2377" s="2">
        <v>2055</v>
      </c>
      <c r="I2377" s="2" t="inlineStr">
        <is>
          <t>$</t>
        </is>
      </c>
      <c r="J2377" s="2">
        <f>HYPERLINK("https://app.astro.lead-studio.pro/product/9fa89714-e971-41bf-b4fc-9ed0e3318593")</f>
      </c>
    </row>
    <row r="2378" spans="1:10" customHeight="0">
      <c r="A2378" s="2" t="inlineStr">
        <is>
          <t>СХД</t>
        </is>
      </c>
      <c r="B2378" s="2" t="inlineStr">
        <is>
          <t>QNAP</t>
        </is>
      </c>
      <c r="C2378" s="2" t="inlineStr">
        <is>
          <t>TS-432PXU-RP-2G</t>
        </is>
      </c>
      <c r="D2378" s="2" t="inlineStr">
        <is>
          <t>Сетевой накопитель QNAP TS-432PXU-RP-2G </t>
        </is>
      </c>
      <c r="E2378" s="2">
        <v>2</v>
      </c>
      <c r="F2378" s="2">
        <v>2</v>
      </c>
      <c r="H2378" s="2">
        <v>2872</v>
      </c>
      <c r="I2378" s="2" t="inlineStr">
        <is>
          <t>$</t>
        </is>
      </c>
      <c r="J2378" s="2">
        <f>HYPERLINK("https://app.astro.lead-studio.pro/product/673afde1-4707-4d99-9cf1-466f26a0f4c1")</f>
      </c>
    </row>
    <row r="2379" spans="1:10" customHeight="0">
      <c r="A2379" s="2" t="inlineStr">
        <is>
          <t>СХД</t>
        </is>
      </c>
      <c r="B2379" s="2" t="inlineStr">
        <is>
          <t>QNAP</t>
        </is>
      </c>
      <c r="C2379" s="2" t="inlineStr">
        <is>
          <t>TS-432X-4G</t>
        </is>
      </c>
      <c r="D2379" s="2" t="inlineStr">
        <is>
          <t>Платформа СХД QNAP TS-432X-4G </t>
        </is>
      </c>
      <c r="E2379" s="2">
        <v>3</v>
      </c>
      <c r="F2379" s="2">
        <v>3</v>
      </c>
      <c r="H2379" s="2">
        <v>1770</v>
      </c>
      <c r="I2379" s="2" t="inlineStr">
        <is>
          <t>$</t>
        </is>
      </c>
      <c r="J2379" s="2">
        <f>HYPERLINK("https://app.astro.lead-studio.pro/product/ab341686-900a-4a50-b57d-b4454b8a09b6")</f>
      </c>
    </row>
    <row r="2380" spans="1:10" customHeight="0">
      <c r="A2380" s="2" t="inlineStr">
        <is>
          <t>СХД</t>
        </is>
      </c>
      <c r="B2380" s="2" t="inlineStr">
        <is>
          <t>QNAP</t>
        </is>
      </c>
      <c r="C2380" s="2" t="inlineStr">
        <is>
          <t>TS-453E-8G</t>
        </is>
      </c>
      <c r="D2380" s="2" t="inlineStr">
        <is>
          <t>Сетевой накопитель QNAP TS-453E-8G</t>
        </is>
      </c>
      <c r="E2380" s="2">
        <v>2</v>
      </c>
      <c r="F2380" s="2">
        <v>2</v>
      </c>
      <c r="H2380" s="2">
        <v>2055</v>
      </c>
      <c r="I2380" s="2" t="inlineStr">
        <is>
          <t>$</t>
        </is>
      </c>
      <c r="J2380" s="2">
        <f>HYPERLINK("https://app.astro.lead-studio.pro/product/f875a60d-0501-4bc1-9c00-caa4490b2fec")</f>
      </c>
    </row>
    <row r="2381" spans="1:10" customHeight="0">
      <c r="A2381" s="2" t="inlineStr">
        <is>
          <t>СХД</t>
        </is>
      </c>
      <c r="B2381" s="2" t="inlineStr">
        <is>
          <t>QNAP</t>
        </is>
      </c>
      <c r="C2381" s="2" t="inlineStr">
        <is>
          <t>TS-464-8G</t>
        </is>
      </c>
      <c r="D2381" s="2" t="inlineStr">
        <is>
          <t>Сетевой накопитель QNAP TS-464</t>
        </is>
      </c>
      <c r="E2381" s="2">
        <v>2</v>
      </c>
      <c r="F2381" s="2">
        <v>2</v>
      </c>
      <c r="H2381" s="2">
        <v>1949</v>
      </c>
      <c r="I2381" s="2" t="inlineStr">
        <is>
          <t>$</t>
        </is>
      </c>
      <c r="J2381" s="2">
        <f>HYPERLINK("https://app.astro.lead-studio.pro/product/cfb4c51e-71f9-45f1-b4b5-7eea19363931")</f>
      </c>
    </row>
    <row r="2382" spans="1:10" customHeight="0">
      <c r="A2382" s="2" t="inlineStr">
        <is>
          <t>СХД</t>
        </is>
      </c>
      <c r="B2382" s="2" t="inlineStr">
        <is>
          <t>QNAP</t>
        </is>
      </c>
      <c r="C2382" s="2" t="inlineStr">
        <is>
          <t>TS-464U-8G</t>
        </is>
      </c>
      <c r="D2382" s="2" t="inlineStr">
        <is>
          <t>Сетевой накопитель QNAP TS-464U-8G </t>
        </is>
      </c>
      <c r="E2382" s="2">
        <v>3</v>
      </c>
      <c r="F2382" s="2">
        <v>3</v>
      </c>
      <c r="H2382" s="2">
        <v>3238</v>
      </c>
      <c r="I2382" s="2" t="inlineStr">
        <is>
          <t>$</t>
        </is>
      </c>
      <c r="J2382" s="2">
        <f>HYPERLINK("https://app.astro.lead-studio.pro/product/475716fe-656f-4cb7-a532-cb89fb9b7ea6")</f>
      </c>
    </row>
    <row r="2383" spans="1:10" customHeight="0">
      <c r="A2383" s="2" t="inlineStr">
        <is>
          <t>СХД</t>
        </is>
      </c>
      <c r="B2383" s="2" t="inlineStr">
        <is>
          <t>QNAP</t>
        </is>
      </c>
      <c r="C2383" s="2" t="inlineStr">
        <is>
          <t>TS-464U-RP-8G</t>
        </is>
      </c>
      <c r="D2383" s="2" t="inlineStr">
        <is>
          <t>Сетевой накопитель QNAP TS-464U-RP-8G </t>
        </is>
      </c>
      <c r="E2383" s="2">
        <v>3</v>
      </c>
      <c r="F2383" s="2">
        <v>3</v>
      </c>
      <c r="H2383" s="2">
        <v>4665</v>
      </c>
      <c r="I2383" s="2" t="inlineStr">
        <is>
          <t>$</t>
        </is>
      </c>
      <c r="J2383" s="2">
        <f>HYPERLINK("https://app.astro.lead-studio.pro/product/7006b7ea-af25-4332-97c7-57ef4286f350")</f>
      </c>
    </row>
    <row r="2384" spans="1:10" customHeight="0">
      <c r="A2384" s="2" t="inlineStr">
        <is>
          <t>СХД</t>
        </is>
      </c>
      <c r="B2384" s="2" t="inlineStr">
        <is>
          <t>QNAP</t>
        </is>
      </c>
      <c r="C2384" s="2" t="inlineStr">
        <is>
          <t>TS-473A-8G</t>
        </is>
      </c>
      <c r="D2384" s="2" t="inlineStr">
        <is>
          <t>Сетевой накопитель QNAP TS-473A-8G </t>
        </is>
      </c>
      <c r="E2384" s="2">
        <v>4</v>
      </c>
      <c r="F2384" s="2">
        <v>4</v>
      </c>
      <c r="H2384" s="2">
        <v>2299</v>
      </c>
      <c r="I2384" s="2" t="inlineStr">
        <is>
          <t>$</t>
        </is>
      </c>
      <c r="J2384" s="2">
        <f>HYPERLINK("https://app.astro.lead-studio.pro/product/eb99a99b-c5b7-4738-b2af-6c3c19b535e2")</f>
      </c>
    </row>
    <row r="2385" spans="1:10" customHeight="0">
      <c r="A2385" s="2" t="inlineStr">
        <is>
          <t>СХД</t>
        </is>
      </c>
      <c r="B2385" s="2" t="inlineStr">
        <is>
          <t>QNAP</t>
        </is>
      </c>
      <c r="C2385" s="2" t="inlineStr">
        <is>
          <t>TS-632X-4G</t>
        </is>
      </c>
      <c r="D2385" s="2" t="inlineStr">
        <is>
          <t>Платформа СХД QNAP TS-632X-4G </t>
        </is>
      </c>
      <c r="E2385" s="2">
        <v>4</v>
      </c>
      <c r="F2385" s="2">
        <v>4</v>
      </c>
      <c r="H2385" s="2">
        <v>2183</v>
      </c>
      <c r="I2385" s="2" t="inlineStr">
        <is>
          <t>$</t>
        </is>
      </c>
      <c r="J2385" s="2">
        <f>HYPERLINK("https://app.astro.lead-studio.pro/product/0a278a76-d007-4525-9ec0-5c0416c3368e")</f>
      </c>
    </row>
    <row r="2386" spans="1:10" customHeight="0">
      <c r="A2386" s="2" t="inlineStr">
        <is>
          <t>СХД</t>
        </is>
      </c>
      <c r="B2386" s="2" t="inlineStr">
        <is>
          <t>QNAP</t>
        </is>
      </c>
      <c r="C2386" s="2" t="inlineStr">
        <is>
          <t>TS-673A-8G</t>
        </is>
      </c>
      <c r="D2386" s="2" t="inlineStr">
        <is>
          <t>Сетевой накопитель QNAP TS-673A-8G</t>
        </is>
      </c>
      <c r="E2386" s="2">
        <v>2</v>
      </c>
      <c r="F2386" s="2">
        <v>2</v>
      </c>
      <c r="H2386" s="2">
        <v>2721</v>
      </c>
      <c r="I2386" s="2" t="inlineStr">
        <is>
          <t>$</t>
        </is>
      </c>
      <c r="J2386" s="2">
        <f>HYPERLINK("https://app.astro.lead-studio.pro/product/825520c3-1b8b-47bb-9ab4-f17cbc63fec2")</f>
      </c>
    </row>
    <row r="2387" spans="1:10" customHeight="0">
      <c r="A2387" s="2" t="inlineStr">
        <is>
          <t>СХД</t>
        </is>
      </c>
      <c r="B2387" s="2" t="inlineStr">
        <is>
          <t>QNAP</t>
        </is>
      </c>
      <c r="C2387" s="2" t="inlineStr">
        <is>
          <t>TS-832PX-4G</t>
        </is>
      </c>
      <c r="D2387" s="2" t="inlineStr">
        <is>
          <t>Сетевой накопитель QNAP TS-832PX-4G </t>
        </is>
      </c>
      <c r="E2387" s="2">
        <v>1</v>
      </c>
      <c r="F2387" s="2">
        <v>1</v>
      </c>
      <c r="H2387" s="2">
        <v>2314</v>
      </c>
      <c r="I2387" s="2" t="inlineStr">
        <is>
          <t>$</t>
        </is>
      </c>
      <c r="J2387" s="2">
        <f>HYPERLINK("https://app.astro.lead-studio.pro/product/dd2eeedb-bec5-4696-ba13-9c4cbd751c76")</f>
      </c>
    </row>
    <row r="2388" spans="1:10" customHeight="0">
      <c r="A2388" s="2" t="inlineStr">
        <is>
          <t>СХД</t>
        </is>
      </c>
      <c r="B2388" s="2" t="inlineStr">
        <is>
          <t>QNAP</t>
        </is>
      </c>
      <c r="C2388" s="2" t="inlineStr">
        <is>
          <t>TS-832PXU-RP-4G</t>
        </is>
      </c>
      <c r="D2388" s="2" t="inlineStr">
        <is>
          <t>Сетевой накопитель QNAP TS-832PXU-RP-4G </t>
        </is>
      </c>
      <c r="E2388" s="2">
        <v>1</v>
      </c>
      <c r="F2388" s="2">
        <v>1</v>
      </c>
      <c r="H2388" s="2">
        <v>3622</v>
      </c>
      <c r="I2388" s="2" t="inlineStr">
        <is>
          <t>$</t>
        </is>
      </c>
      <c r="J2388" s="2">
        <f>HYPERLINK("https://app.astro.lead-studio.pro/product/073ad535-a50e-465f-ad7d-5324975bd3d1")</f>
      </c>
    </row>
    <row r="2389" spans="1:10" customHeight="0">
      <c r="A2389" s="2" t="inlineStr">
        <is>
          <t>СХД</t>
        </is>
      </c>
      <c r="B2389" s="2" t="inlineStr">
        <is>
          <t>QNAP</t>
        </is>
      </c>
      <c r="C2389" s="2" t="inlineStr">
        <is>
          <t>TS-864eU-RP-8G</t>
        </is>
      </c>
      <c r="D2389" s="2" t="inlineStr">
        <is>
          <t>Сетевой накопитель QNAP TS-864eU-RP-8G w/o EU cable</t>
        </is>
      </c>
      <c r="E2389" s="2">
        <v>2</v>
      </c>
      <c r="F2389" s="2">
        <v>2</v>
      </c>
      <c r="H2389" s="2">
        <v>5982</v>
      </c>
      <c r="I2389" s="2" t="inlineStr">
        <is>
          <t>$</t>
        </is>
      </c>
      <c r="J2389" s="2">
        <f>HYPERLINK("https://app.astro.lead-studio.pro/product/4b197b4f-aa1c-4d0e-b06d-83d1b55c4837")</f>
      </c>
    </row>
    <row r="2390" spans="1:10" customHeight="0">
      <c r="A2390" s="2" t="inlineStr">
        <is>
          <t>СХД</t>
        </is>
      </c>
      <c r="B2390" s="2" t="inlineStr">
        <is>
          <t>QNAP</t>
        </is>
      </c>
      <c r="C2390" s="2" t="inlineStr">
        <is>
          <t>TS-873AeU-4G</t>
        </is>
      </c>
      <c r="D2390" s="2" t="inlineStr">
        <is>
          <t>Сетевой накопитель QNAP TS-873AeU-4G </t>
        </is>
      </c>
      <c r="E2390" s="2">
        <v>3</v>
      </c>
      <c r="F2390" s="2">
        <v>3</v>
      </c>
      <c r="H2390" s="2">
        <v>4516</v>
      </c>
      <c r="I2390" s="2" t="inlineStr">
        <is>
          <t>$</t>
        </is>
      </c>
      <c r="J2390" s="2">
        <f>HYPERLINK("https://app.astro.lead-studio.pro/product/86869c0f-4796-437a-9c3b-2d0ac76b56c7")</f>
      </c>
    </row>
    <row r="2391" spans="1:10" customHeight="0">
      <c r="A2391" s="2" t="inlineStr">
        <is>
          <t>СХД</t>
        </is>
      </c>
      <c r="B2391" s="2" t="inlineStr">
        <is>
          <t>QNAP</t>
        </is>
      </c>
      <c r="C2391" s="2" t="inlineStr">
        <is>
          <t>TS-873AeU-RP-4G</t>
        </is>
      </c>
      <c r="D2391" s="2" t="inlineStr">
        <is>
          <t>Сетевой накопитель QNAP TS-873AeU-RP-4G </t>
        </is>
      </c>
      <c r="E2391" s="2">
        <v>1</v>
      </c>
      <c r="F2391" s="2">
        <v>1</v>
      </c>
      <c r="H2391" s="2">
        <v>5861</v>
      </c>
      <c r="I2391" s="2" t="inlineStr">
        <is>
          <t>$</t>
        </is>
      </c>
      <c r="J2391" s="2">
        <f>HYPERLINK("https://app.astro.lead-studio.pro/product/8628fcaf-460f-4180-8131-9daae050cfb0")</f>
      </c>
    </row>
    <row r="2392" spans="1:10" customHeight="0">
      <c r="A2392" s="2" t="inlineStr">
        <is>
          <t>СХД</t>
        </is>
      </c>
      <c r="B2392" s="2" t="inlineStr">
        <is>
          <t>QNAP</t>
        </is>
      </c>
      <c r="C2392" s="2" t="inlineStr">
        <is>
          <t>TS-932PX-4G</t>
        </is>
      </c>
      <c r="D2392" s="2" t="inlineStr">
        <is>
          <t>Сетевой накопитель QNAP TS-932PX-4G </t>
        </is>
      </c>
      <c r="E2392" s="2">
        <v>3</v>
      </c>
      <c r="F2392" s="2">
        <v>3</v>
      </c>
      <c r="H2392" s="2">
        <v>2084</v>
      </c>
      <c r="I2392" s="2" t="inlineStr">
        <is>
          <t>$</t>
        </is>
      </c>
      <c r="J2392" s="2">
        <f>HYPERLINK("https://app.astro.lead-studio.pro/product/f06dc557-cc84-4924-99b9-b9d94e713f22")</f>
      </c>
    </row>
    <row r="2393" spans="1:10" customHeight="0">
      <c r="A2393" s="2" t="inlineStr">
        <is>
          <t>СХД</t>
        </is>
      </c>
      <c r="B2393" s="2" t="inlineStr">
        <is>
          <t>QNAP</t>
        </is>
      </c>
      <c r="C2393" s="2" t="inlineStr">
        <is>
          <t>TVS-672XT-i3-8G</t>
        </is>
      </c>
      <c r="D2393" s="2" t="inlineStr">
        <is>
          <t>Сетевой накопитель QNAP TVS-672XT-i3-8G </t>
        </is>
      </c>
      <c r="E2393" s="2">
        <v>1</v>
      </c>
      <c r="F2393" s="2">
        <v>1</v>
      </c>
      <c r="H2393" s="2">
        <v>5299</v>
      </c>
      <c r="I2393" s="2" t="inlineStr">
        <is>
          <t>$</t>
        </is>
      </c>
      <c r="J2393" s="2">
        <f>HYPERLINK("https://app.astro.lead-studio.pro/product/c8c2ee0a-316b-4c64-ad54-b7ae716ce19c")</f>
      </c>
    </row>
    <row r="2394" spans="1:10" customHeight="0">
      <c r="A2394" s="2" t="inlineStr">
        <is>
          <t>СХД</t>
        </is>
      </c>
      <c r="B2394" s="2" t="inlineStr">
        <is>
          <t>QNAP</t>
        </is>
      </c>
      <c r="C2394" s="2" t="inlineStr">
        <is>
          <t>TVS-675-8G</t>
        </is>
      </c>
      <c r="D2394" s="2" t="inlineStr">
        <is>
          <t>Сетевой накопитель QNAP TVS-675-8G </t>
        </is>
      </c>
      <c r="E2394" s="2">
        <v>2</v>
      </c>
      <c r="F2394" s="2">
        <v>2</v>
      </c>
      <c r="H2394" s="2">
        <v>3182</v>
      </c>
      <c r="I2394" s="2" t="inlineStr">
        <is>
          <t>$</t>
        </is>
      </c>
      <c r="J2394" s="2">
        <f>HYPERLINK("https://app.astro.lead-studio.pro/product/e17e28bd-862a-427d-9f1d-e3013555c6b4")</f>
      </c>
    </row>
    <row r="2395" spans="1:10" customHeight="0">
      <c r="A2395" s="2" t="inlineStr">
        <is>
          <t>Контроллеры (электропитание)</t>
        </is>
      </c>
      <c r="B2395" s="2" t="inlineStr">
        <is>
          <t>SMARTWATT</t>
        </is>
      </c>
      <c r="C2395" s="2" t="inlineStr">
        <is>
          <t>SMARTWATT GRID 10K 1P 3 MPPT</t>
        </is>
      </c>
      <c r="D2395" s="2" t="inlineStr">
        <is>
          <t>Инвертор SMARTWATT Сетевой инвертор SMARTWATT GRID 10K 1P 3 MPPT</t>
        </is>
      </c>
      <c r="E2395" s="2">
        <v>3</v>
      </c>
      <c r="F2395" s="2">
        <v>3</v>
      </c>
      <c r="H2395" s="2">
        <v>1699</v>
      </c>
      <c r="I2395" s="2" t="inlineStr">
        <is>
          <t>$</t>
        </is>
      </c>
      <c r="J2395" s="2">
        <f>HYPERLINK("https://app.astro.lead-studio.pro/product/1350624e-6266-4f82-8f14-412983247bde")</f>
      </c>
    </row>
    <row r="2396" spans="1:10" customHeight="0">
      <c r="A2396" s="2" t="inlineStr">
        <is>
          <t>Контроллеры (электропитание)</t>
        </is>
      </c>
      <c r="B2396" s="2" t="inlineStr">
        <is>
          <t>SMARTWATT</t>
        </is>
      </c>
      <c r="C2396" s="2" t="inlineStr">
        <is>
          <t>SMARTWATT GRID 7K 1P 3</t>
        </is>
      </c>
      <c r="D2396" s="2" t="inlineStr">
        <is>
          <t>Инвертор SMARTWATT Сетевой инвертор SMARTWATT GRID 7K 1P 3 MPPT</t>
        </is>
      </c>
      <c r="E2396" s="2">
        <v>3</v>
      </c>
      <c r="F2396" s="2">
        <v>3</v>
      </c>
      <c r="H2396" s="2">
        <v>1324</v>
      </c>
      <c r="I2396" s="2" t="inlineStr">
        <is>
          <t>$</t>
        </is>
      </c>
      <c r="J2396" s="2">
        <f>HYPERLINK("https://app.astro.lead-studio.pro/product/1b4291fe-841f-448b-b524-a1b44bc3fb7c")</f>
      </c>
    </row>
    <row r="2397" spans="1:10" customHeight="0">
      <c r="A2397" s="2" t="inlineStr">
        <is>
          <t>Системы бесперебойного электропитания</t>
        </is>
      </c>
      <c r="B2397" s="2" t="inlineStr">
        <is>
          <t>IPPON</t>
        </is>
      </c>
      <c r="C2397" s="2" t="inlineStr">
        <is>
          <t>1146366</t>
        </is>
      </c>
      <c r="D2397" s="2" t="inlineStr">
        <is>
          <t>Батарея IPPON Дополнительный батарейный модуль для Ippon Innova RT 33 60/80K (294096) EAN</t>
        </is>
      </c>
      <c r="E2397" s="2">
        <v>1</v>
      </c>
      <c r="F2397" s="2">
        <v>1</v>
      </c>
      <c r="H2397" s="2">
        <v>7358</v>
      </c>
      <c r="I2397" s="2" t="inlineStr">
        <is>
          <t>$</t>
        </is>
      </c>
      <c r="J2397" s="2">
        <f>HYPERLINK("https://app.astro.lead-studio.pro/product/ad998b5f-e577-4bb3-b183-5913c539155e")</f>
      </c>
    </row>
    <row r="2398" spans="1:10" customHeight="0">
      <c r="A2398" s="2" t="inlineStr">
        <is>
          <t>Системы бесперебойного электропитания</t>
        </is>
      </c>
      <c r="B2398" s="2" t="inlineStr">
        <is>
          <t>IPPON</t>
        </is>
      </c>
      <c r="C2398" s="2" t="inlineStr">
        <is>
          <t>1398368</t>
        </is>
      </c>
      <c r="D2398" s="2" t="inlineStr">
        <is>
          <t>Батарея IPPON Дополнительный батарейный модуль для Ippon EBM Innova RT II 2000/3000 (72В/7Ач) (229590)</t>
        </is>
      </c>
      <c r="E2398" s="2">
        <v>4</v>
      </c>
      <c r="F2398" s="2">
        <v>4</v>
      </c>
      <c r="H2398" s="2">
        <v>641</v>
      </c>
      <c r="I2398" s="2" t="inlineStr">
        <is>
          <t>$</t>
        </is>
      </c>
      <c r="J2398" s="2">
        <f>HYPERLINK("https://app.astro.lead-studio.pro/product/0633a72c-536f-43db-9c5f-bfa8f2e921a8")</f>
      </c>
    </row>
    <row r="2399" spans="1:10" customHeight="0">
      <c r="A2399" s="2" t="inlineStr">
        <is>
          <t>Системы бесперебойного электропитания</t>
        </is>
      </c>
      <c r="B2399" s="2" t="inlineStr">
        <is>
          <t>ACD</t>
        </is>
      </c>
      <c r="C2399" s="2" t="inlineStr">
        <is>
          <t>95-160240-00G</t>
        </is>
      </c>
      <c r="D2399" s="2" t="inlineStr">
        <is>
          <t>Источник бесперебойного питания (ИБП) ACD ACD </t>
        </is>
      </c>
      <c r="E2399" s="2">
        <v>4</v>
      </c>
      <c r="F2399" s="2">
        <v>4</v>
      </c>
      <c r="H2399" s="2">
        <v>737</v>
      </c>
      <c r="I2399" s="2" t="inlineStr">
        <is>
          <t>$</t>
        </is>
      </c>
      <c r="J2399" s="2">
        <f>HYPERLINK("https://app.astro.lead-studio.pro/product/a0ff455b-2387-45a6-b65e-a5fc843b87e1")</f>
      </c>
    </row>
    <row r="2400" spans="1:10" customHeight="0">
      <c r="A2400" s="2" t="inlineStr">
        <is>
          <t>Системы бесперебойного электропитания</t>
        </is>
      </c>
      <c r="B2400" s="2" t="inlineStr">
        <is>
          <t>ACD</t>
        </is>
      </c>
      <c r="C2400" s="2" t="inlineStr">
        <is>
          <t>95-160241-00G</t>
        </is>
      </c>
      <c r="D2400" s="2" t="inlineStr">
        <is>
          <t>Источник бесперебойного питания (ИБП) ACD ACD Battery pack for 6 KVA 2U with 16pcs 7A </t>
        </is>
      </c>
      <c r="E2400" s="2">
        <v>3</v>
      </c>
      <c r="F2400" s="2">
        <v>3</v>
      </c>
      <c r="H2400" s="2">
        <v>655</v>
      </c>
      <c r="I2400" s="2" t="inlineStr">
        <is>
          <t>$</t>
        </is>
      </c>
      <c r="J2400" s="2">
        <f>HYPERLINK("https://app.astro.lead-studio.pro/product/e5e72497-f126-47cd-bccc-6061098e6080")</f>
      </c>
    </row>
    <row r="2401" spans="1:10" customHeight="0">
      <c r="A2401" s="2" t="inlineStr">
        <is>
          <t>Системы бесперебойного электропитания</t>
        </is>
      </c>
      <c r="B2401" s="2" t="inlineStr">
        <is>
          <t>DELTA</t>
        </is>
      </c>
      <c r="C2401" s="2" t="inlineStr">
        <is>
          <t>GEL 12-120</t>
        </is>
      </c>
      <c r="D2401" s="2" t="inlineStr">
        <is>
          <t>GEL 12-120 Delta Аккумуляторная батарея </t>
        </is>
      </c>
      <c r="E2401" s="2">
        <v>3</v>
      </c>
      <c r="F2401" s="2">
        <v>3</v>
      </c>
      <c r="H2401" s="2">
        <v>324</v>
      </c>
      <c r="I2401" s="2" t="inlineStr">
        <is>
          <t>$</t>
        </is>
      </c>
      <c r="J2401" s="2">
        <f>HYPERLINK("https://app.astro.lead-studio.pro/product/62e1f619-f982-401e-9ba0-aef69104ae08")</f>
      </c>
    </row>
    <row r="2402" spans="1:10" customHeight="0">
      <c r="A2402" s="2" t="inlineStr">
        <is>
          <t>Системы бесперебойного электропитания</t>
        </is>
      </c>
      <c r="B2402" s="2" t="inlineStr">
        <is>
          <t>DELTA</t>
        </is>
      </c>
      <c r="C2402" s="2" t="inlineStr">
        <is>
          <t>GEL 12-200</t>
        </is>
      </c>
      <c r="D2402" s="2" t="inlineStr">
        <is>
          <t>Батарея DELTA Аккумуляторная батарея Delta GEL 12-200</t>
        </is>
      </c>
      <c r="E2402" s="2">
        <v>4</v>
      </c>
      <c r="F2402" s="2">
        <v>4</v>
      </c>
      <c r="H2402" s="2">
        <v>547</v>
      </c>
      <c r="I2402" s="2" t="inlineStr">
        <is>
          <t>$</t>
        </is>
      </c>
      <c r="J2402" s="2">
        <f>HYPERLINK("https://app.astro.lead-studio.pro/product/e6e25152-7b6f-4126-bd37-4e137a7147d6")</f>
      </c>
    </row>
    <row r="2403" spans="1:10" customHeight="0">
      <c r="A2403" s="2" t="inlineStr">
        <is>
          <t>Системы бесперебойного электропитания</t>
        </is>
      </c>
      <c r="B2403" s="2" t="inlineStr">
        <is>
          <t>DELTA</t>
        </is>
      </c>
      <c r="C2403" s="2" t="inlineStr">
        <is>
          <t>GEL 12-200||bp</t>
        </is>
      </c>
      <c r="D2403" s="2" t="inlineStr">
        <is>
          <t>Батарея DELTA Аккумуляторная батарея Delta GEL 12-200</t>
        </is>
      </c>
      <c r="E2403" s="2">
        <v>1</v>
      </c>
      <c r="F2403" s="2">
        <v>1</v>
      </c>
      <c r="H2403" s="2">
        <v>396</v>
      </c>
      <c r="I2403" s="2" t="inlineStr">
        <is>
          <t>$</t>
        </is>
      </c>
      <c r="J2403" s="2">
        <f>HYPERLINK("https://app.astro.lead-studio.pro/product/414e7da1-529b-4104-9260-ea161d79e6f2")</f>
      </c>
    </row>
    <row r="2404" spans="1:10" customHeight="0">
      <c r="A2404" s="2" t="inlineStr">
        <is>
          <t>Системы бесперебойного электропитания</t>
        </is>
      </c>
      <c r="B2404" s="2" t="inlineStr">
        <is>
          <t>DELTA</t>
        </is>
      </c>
      <c r="C2404" s="2" t="inlineStr">
        <is>
          <t>GX 12-120</t>
        </is>
      </c>
      <c r="D2404" s="2" t="inlineStr">
        <is>
          <t>Батарея DELTA Аккумуляторная батарея Delta GX 12-120 (801714)</t>
        </is>
      </c>
      <c r="E2404" s="2">
        <v>2</v>
      </c>
      <c r="F2404" s="2">
        <v>2</v>
      </c>
      <c r="H2404" s="2">
        <v>322</v>
      </c>
      <c r="I2404" s="2" t="inlineStr">
        <is>
          <t>$</t>
        </is>
      </c>
      <c r="J2404" s="2">
        <f>HYPERLINK("https://app.astro.lead-studio.pro/product/aef84365-653d-408b-83f5-fec9d39566fc")</f>
      </c>
    </row>
    <row r="2405" spans="1:10" customHeight="0">
      <c r="A2405" s="2" t="inlineStr">
        <is>
          <t>Системы бесперебойного электропитания</t>
        </is>
      </c>
      <c r="B2405" s="2" t="inlineStr">
        <is>
          <t>POWERCOM</t>
        </is>
      </c>
      <c r="C2405" s="2" t="inlineStr">
        <is>
          <t>1034861</t>
        </is>
      </c>
      <c r="D2405" s="2" t="inlineStr">
        <is>
          <t>ИБП Powercom MACAN MAC-1000 1000VA/1000W Tower, 4*IEC320-C13, Serial+USB, SNMP Slot</t>
        </is>
      </c>
      <c r="E2405" s="2">
        <v>5</v>
      </c>
      <c r="F2405" s="2">
        <v>5</v>
      </c>
      <c r="H2405" s="2">
        <v>326</v>
      </c>
      <c r="I2405" s="2" t="inlineStr">
        <is>
          <t>$</t>
        </is>
      </c>
      <c r="J2405" s="2">
        <f>HYPERLINK("https://app.astro.lead-studio.pro/product/efe96ba7-03de-4941-acf8-f677cb21487c")</f>
      </c>
    </row>
    <row r="2406" spans="1:10" customHeight="0">
      <c r="A2406" s="2" t="inlineStr">
        <is>
          <t>Системы бесперебойного электропитания</t>
        </is>
      </c>
      <c r="B2406" s="2" t="inlineStr">
        <is>
          <t>POWERCOM</t>
        </is>
      </c>
      <c r="C2406" s="2" t="inlineStr">
        <is>
          <t>1034862</t>
        </is>
      </c>
      <c r="D2406" s="2" t="inlineStr">
        <is>
          <t>ИБП Powercom MACAN MAC-2000 2000VA/2000W Tower, 8*IEC320-C13+С19, Serial+USB, SNMP Slot </t>
        </is>
      </c>
      <c r="E2406" s="2">
        <v>4</v>
      </c>
      <c r="F2406" s="2">
        <v>4</v>
      </c>
      <c r="H2406" s="2">
        <v>508</v>
      </c>
      <c r="I2406" s="2" t="inlineStr">
        <is>
          <t>$</t>
        </is>
      </c>
      <c r="J2406" s="2">
        <f>HYPERLINK("https://app.astro.lead-studio.pro/product/9e094eeb-1024-4ba3-9776-98dfef41a505")</f>
      </c>
    </row>
    <row r="2407" spans="1:10" customHeight="0">
      <c r="A2407" s="2" t="inlineStr">
        <is>
          <t>Системы бесперебойного электропитания</t>
        </is>
      </c>
      <c r="B2407" s="2" t="inlineStr">
        <is>
          <t>POWERCOM</t>
        </is>
      </c>
      <c r="C2407" s="2" t="inlineStr">
        <is>
          <t>1034863</t>
        </is>
      </c>
      <c r="D2407" s="2" t="inlineStr">
        <is>
          <t>ИБП Powercom MACAN MAC-3000 3000VA/3000W Tower, 8*IEC320-C13+С19, Serial+USB, SNMP Slot</t>
        </is>
      </c>
      <c r="E2407" s="2">
        <v>5</v>
      </c>
      <c r="F2407" s="2">
        <v>5</v>
      </c>
      <c r="H2407" s="2">
        <v>577</v>
      </c>
      <c r="I2407" s="2" t="inlineStr">
        <is>
          <t>$</t>
        </is>
      </c>
      <c r="J2407" s="2">
        <f>HYPERLINK("https://app.astro.lead-studio.pro/product/0fd358e1-2dc5-41b7-b28f-49bc5ab83496")</f>
      </c>
    </row>
    <row r="2408" spans="1:10" customHeight="0">
      <c r="A2408" s="2" t="inlineStr">
        <is>
          <t>Системы бесперебойного электропитания</t>
        </is>
      </c>
      <c r="B2408" s="2" t="inlineStr">
        <is>
          <t>POWERCOM</t>
        </is>
      </c>
      <c r="C2408" s="2" t="inlineStr">
        <is>
          <t>1075913</t>
        </is>
      </c>
      <c r="D2408" s="2" t="inlineStr">
        <is>
          <t>ИБП Powercom MACAN SE MRT-2000SE 2000VA/2000W  Rack/Tower, 8*IEC320-C13, LCD, Serial+USB, SmartSlot, подкл. доп. Батарей</t>
        </is>
      </c>
      <c r="E2408" s="2">
        <v>9</v>
      </c>
      <c r="F2408" s="2">
        <v>9</v>
      </c>
      <c r="H2408" s="2">
        <v>566</v>
      </c>
      <c r="I2408" s="2" t="inlineStr">
        <is>
          <t>$</t>
        </is>
      </c>
      <c r="J2408" s="2">
        <f>HYPERLINK("https://app.astro.lead-studio.pro/product/b64a35f6-ff3f-4de1-8fa8-8ff8092b12a6")</f>
      </c>
    </row>
    <row r="2409" spans="1:10" customHeight="0">
      <c r="A2409" s="2" t="inlineStr">
        <is>
          <t>Системы бесперебойного электропитания</t>
        </is>
      </c>
      <c r="B2409" s="2" t="inlineStr">
        <is>
          <t>POWERCOM</t>
        </is>
      </c>
      <c r="C2409" s="2" t="inlineStr">
        <is>
          <t>1076118</t>
        </is>
      </c>
      <c r="D2409" s="2" t="inlineStr">
        <is>
          <t>ИБП Powercom MACAN SE MRT-1000SE 1000VA/1000W Rack/Tower, 8*IEC320-C13, LCD, Serial+USB, SmartSlot, подкл. доп. Батарей</t>
        </is>
      </c>
      <c r="E2409" s="2">
        <v>3</v>
      </c>
      <c r="F2409" s="2">
        <v>3</v>
      </c>
      <c r="H2409" s="2">
        <v>415</v>
      </c>
      <c r="I2409" s="2" t="inlineStr">
        <is>
          <t>$</t>
        </is>
      </c>
      <c r="J2409" s="2">
        <f>HYPERLINK("https://app.astro.lead-studio.pro/product/6a93cc79-47c2-47a8-9170-26d0cd374b68")</f>
      </c>
    </row>
    <row r="2410" spans="1:10" customHeight="0">
      <c r="A2410" s="2" t="inlineStr">
        <is>
          <t>Системы бесперебойного электропитания</t>
        </is>
      </c>
      <c r="B2410" s="2" t="inlineStr">
        <is>
          <t>POWERCOM</t>
        </is>
      </c>
      <c r="C2410" s="2" t="inlineStr">
        <is>
          <t>1076119</t>
        </is>
      </c>
      <c r="D2410" s="2" t="inlineStr">
        <is>
          <t>ИБП Powercom MACAN SE Line, 3000VA/3000W Rack/Tower, 8*IEC320-C13, LCD, Serial+USB, SmartSlot, подкл. доп. Батарей </t>
        </is>
      </c>
      <c r="E2410" s="2">
        <v>5</v>
      </c>
      <c r="F2410" s="2">
        <v>5</v>
      </c>
      <c r="H2410" s="2">
        <v>617</v>
      </c>
      <c r="I2410" s="2" t="inlineStr">
        <is>
          <t>$</t>
        </is>
      </c>
      <c r="J2410" s="2">
        <f>HYPERLINK("https://app.astro.lead-studio.pro/product/ee5e1f56-0b0a-4c4f-9a4a-a7fb3f441420")</f>
      </c>
    </row>
    <row r="2411" spans="1:10" customHeight="0">
      <c r="A2411" s="2" t="inlineStr">
        <is>
          <t>Системы бесперебойного электропитания</t>
        </is>
      </c>
      <c r="B2411" s="2" t="inlineStr">
        <is>
          <t>IPPON</t>
        </is>
      </c>
      <c r="C2411" s="2" t="inlineStr">
        <is>
          <t>1146362</t>
        </is>
      </c>
      <c r="D2411" s="2" t="inlineStr">
        <is>
          <t>Источник бесперебойного питания IPPON ИБП Ippon Innova RT 33 80K On-line Tower 80000W/80000VA (294065)</t>
        </is>
      </c>
      <c r="E2411" s="2">
        <v>2</v>
      </c>
      <c r="F2411" s="2">
        <v>2</v>
      </c>
      <c r="H2411" s="2">
        <v>6773</v>
      </c>
      <c r="I2411" s="2" t="inlineStr">
        <is>
          <t>$</t>
        </is>
      </c>
      <c r="J2411" s="2">
        <f>HYPERLINK("https://app.astro.lead-studio.pro/product/6b753ca4-70f2-4775-ae80-1afc37a252be")</f>
      </c>
    </row>
    <row r="2412" spans="1:10" customHeight="0">
      <c r="A2412" s="2" t="inlineStr">
        <is>
          <t>Системы бесперебойного электропитания</t>
        </is>
      </c>
      <c r="B2412" s="2" t="inlineStr">
        <is>
          <t>POWERCOM</t>
        </is>
      </c>
      <c r="C2412" s="2" t="inlineStr">
        <is>
          <t>1168817</t>
        </is>
      </c>
      <c r="D2412" s="2" t="inlineStr">
        <is>
          <t>Источник бесперебойного питания POWERCOM Macan MRT-1500SE online 1500W/1500VA (037516)</t>
        </is>
      </c>
      <c r="E2412" s="2">
        <v>1</v>
      </c>
      <c r="F2412" s="2">
        <v>1</v>
      </c>
      <c r="H2412" s="2">
        <v>446</v>
      </c>
      <c r="I2412" s="2" t="inlineStr">
        <is>
          <t>$</t>
        </is>
      </c>
      <c r="J2412" s="2">
        <f>HYPERLINK("https://app.astro.lead-studio.pro/product/c982c00e-63ef-47d5-b746-1df3d5ac0d4c")</f>
      </c>
    </row>
    <row r="2413" spans="1:10" customHeight="0">
      <c r="A2413" s="2" t="inlineStr">
        <is>
          <t>Системы бесперебойного электропитания</t>
        </is>
      </c>
      <c r="B2413" s="2" t="inlineStr">
        <is>
          <t>IPPON</t>
        </is>
      </c>
      <c r="C2413" s="2" t="inlineStr">
        <is>
          <t>1398359</t>
        </is>
      </c>
      <c r="D2413" s="2" t="inlineStr">
        <is>
          <t>Источник бесперебойного питания IPPON ИБП Ippon Innova RT II 1000 1000W/1000VA (229545)</t>
        </is>
      </c>
      <c r="E2413" s="2">
        <v>7</v>
      </c>
      <c r="F2413" s="2">
        <v>7</v>
      </c>
      <c r="H2413" s="2">
        <v>498</v>
      </c>
      <c r="I2413" s="2" t="inlineStr">
        <is>
          <t>$</t>
        </is>
      </c>
      <c r="J2413" s="2">
        <f>HYPERLINK("https://app.astro.lead-studio.pro/product/f3acef68-f96e-4718-9ccc-3be840c75a62")</f>
      </c>
    </row>
    <row r="2414" spans="1:10" customHeight="0">
      <c r="A2414" s="2" t="inlineStr">
        <is>
          <t>Системы бесперебойного электропитания</t>
        </is>
      </c>
      <c r="B2414" s="2" t="inlineStr">
        <is>
          <t>IPPON</t>
        </is>
      </c>
      <c r="C2414" s="2" t="inlineStr">
        <is>
          <t>1398362</t>
        </is>
      </c>
      <c r="D2414" s="2" t="inlineStr">
        <is>
          <t>Источник бесперебойного питания IPPON ИБП Ippon Innova RT II 2000 2000W/2000VA (229569)</t>
        </is>
      </c>
      <c r="E2414" s="2">
        <v>5</v>
      </c>
      <c r="F2414" s="2">
        <v>5</v>
      </c>
      <c r="H2414" s="2">
        <v>926</v>
      </c>
      <c r="I2414" s="2" t="inlineStr">
        <is>
          <t>$</t>
        </is>
      </c>
      <c r="J2414" s="2">
        <f>HYPERLINK("https://app.astro.lead-studio.pro/product/e7035b88-c4c3-4844-b444-8fff4e0da781")</f>
      </c>
    </row>
    <row r="2415" spans="1:10" customHeight="0">
      <c r="A2415" s="2" t="inlineStr">
        <is>
          <t>Системы бесперебойного электропитания</t>
        </is>
      </c>
      <c r="B2415" s="2" t="inlineStr">
        <is>
          <t>POWERCOM</t>
        </is>
      </c>
      <c r="C2415" s="2" t="inlineStr">
        <is>
          <t>1456275</t>
        </is>
      </c>
      <c r="D2415" s="2" t="inlineStr">
        <is>
          <t>Источник бесперебойного питания Powercom Sentinel SNT-1000 online 1000W/1000VA </t>
        </is>
      </c>
      <c r="E2415" s="2">
        <v>3</v>
      </c>
      <c r="F2415" s="2">
        <v>3</v>
      </c>
      <c r="H2415" s="2">
        <v>488</v>
      </c>
      <c r="I2415" s="2" t="inlineStr">
        <is>
          <t>$</t>
        </is>
      </c>
      <c r="J2415" s="2">
        <f>HYPERLINK("https://app.astro.lead-studio.pro/product/8be7e5c3-3420-450d-9242-3ae12d1c9180")</f>
      </c>
    </row>
    <row r="2416" spans="1:10" customHeight="0">
      <c r="A2416" s="2" t="inlineStr">
        <is>
          <t>Системы бесперебойного электропитания</t>
        </is>
      </c>
      <c r="B2416" s="2" t="inlineStr">
        <is>
          <t>IPPON</t>
        </is>
      </c>
      <c r="C2416" s="2" t="inlineStr">
        <is>
          <t>427360</t>
        </is>
      </c>
      <c r="D2416" s="2" t="inlineStr">
        <is>
          <t>Источник бесперебойного питания IPPON ИБП Ippon Innova G2 3000 2700W/3000VA (288972)</t>
        </is>
      </c>
      <c r="E2416" s="2">
        <v>3</v>
      </c>
      <c r="F2416" s="2">
        <v>3</v>
      </c>
      <c r="H2416" s="2">
        <v>603</v>
      </c>
      <c r="I2416" s="2" t="inlineStr">
        <is>
          <t>$</t>
        </is>
      </c>
      <c r="J2416" s="2">
        <f>HYPERLINK("https://app.astro.lead-studio.pro/product/357bde49-e97d-4e35-a508-b2dbafe780e6")</f>
      </c>
    </row>
    <row r="2417" spans="1:10" customHeight="0">
      <c r="A2417" s="2" t="inlineStr">
        <is>
          <t>Системы бесперебойного электропитания</t>
        </is>
      </c>
      <c r="B2417" s="2" t="inlineStr">
        <is>
          <t>PowerMan</t>
        </is>
      </c>
      <c r="C2417" s="2" t="inlineStr">
        <is>
          <t>6114085</t>
        </is>
      </c>
      <c r="D2417" s="2" t="inlineStr">
        <is>
          <t>Источник бесперебойного питания PowerMan ИБП Powerman Online 2000 Plus On-line 1800W/2000VA (ONL 2K PLUS) (945123)</t>
        </is>
      </c>
      <c r="E2417" s="2">
        <v>4</v>
      </c>
      <c r="F2417" s="2">
        <v>4</v>
      </c>
      <c r="H2417" s="2">
        <v>359</v>
      </c>
      <c r="I2417" s="2" t="inlineStr">
        <is>
          <t>$</t>
        </is>
      </c>
      <c r="J2417" s="2">
        <f>HYPERLINK("https://app.astro.lead-studio.pro/product/2dfea594-e9f2-4918-bea7-8a6f00dc65a7")</f>
      </c>
    </row>
    <row r="2418" spans="1:10" customHeight="0">
      <c r="A2418" s="2" t="inlineStr">
        <is>
          <t>Системы бесперебойного электропитания</t>
        </is>
      </c>
      <c r="B2418" s="2" t="inlineStr">
        <is>
          <t>PowerMan</t>
        </is>
      </c>
      <c r="C2418" s="2" t="inlineStr">
        <is>
          <t>6114086</t>
        </is>
      </c>
      <c r="D2418" s="2" t="inlineStr">
        <is>
          <t>Источник бесперебойного питания PowerMan ИБП Powerman Online 3000 Plus On-line 2700W/3000VA (ONL 3K PLUS) (945130)</t>
        </is>
      </c>
      <c r="E2418" s="2">
        <v>2</v>
      </c>
      <c r="F2418" s="2">
        <v>2</v>
      </c>
      <c r="H2418" s="2">
        <v>392</v>
      </c>
      <c r="I2418" s="2" t="inlineStr">
        <is>
          <t>$</t>
        </is>
      </c>
      <c r="J2418" s="2">
        <f>HYPERLINK("https://app.astro.lead-studio.pro/product/95a6179a-5a62-44f3-bf68-eca639f0f597")</f>
      </c>
    </row>
    <row r="2419" spans="1:10" customHeight="0">
      <c r="A2419" s="2" t="inlineStr">
        <is>
          <t>Системы бесперебойного электропитания</t>
        </is>
      </c>
      <c r="B2419" s="2" t="inlineStr">
        <is>
          <t>PowerMan</t>
        </is>
      </c>
      <c r="C2419" s="2" t="inlineStr">
        <is>
          <t>6122327</t>
        </is>
      </c>
      <c r="D2419" s="2" t="inlineStr">
        <is>
          <t>Источник бесперебойного питания PowerMan ИБП Powerman Online 1000 RT EIC On-line 900W/1000VA</t>
        </is>
      </c>
      <c r="E2419" s="2">
        <v>1</v>
      </c>
      <c r="F2419" s="2">
        <v>1</v>
      </c>
      <c r="H2419" s="2">
        <v>324</v>
      </c>
      <c r="I2419" s="2" t="inlineStr">
        <is>
          <t>$</t>
        </is>
      </c>
      <c r="J2419" s="2">
        <f>HYPERLINK("https://app.astro.lead-studio.pro/product/7deef9d5-37a0-4806-8a01-e9f0842f77ba")</f>
      </c>
    </row>
    <row r="2420" spans="1:10" customHeight="0">
      <c r="A2420" s="2" t="inlineStr">
        <is>
          <t>Системы бесперебойного электропитания</t>
        </is>
      </c>
      <c r="B2420" s="2" t="inlineStr">
        <is>
          <t>PowerMan</t>
        </is>
      </c>
      <c r="C2420" s="2" t="inlineStr">
        <is>
          <t>6128101||bp</t>
        </is>
      </c>
      <c r="D2420" s="2" t="inlineStr">
        <is>
          <t>Источник бесперебойного питания PowerMan ИБП Powerman Online 2000 RT EIC, On-line, 1800W/2000VA</t>
        </is>
      </c>
      <c r="E2420" s="2">
        <v>1</v>
      </c>
      <c r="F2420" s="2">
        <v>1</v>
      </c>
      <c r="H2420" s="2">
        <v>465</v>
      </c>
      <c r="I2420" s="2" t="inlineStr">
        <is>
          <t>$</t>
        </is>
      </c>
      <c r="J2420" s="2">
        <f>HYPERLINK("https://app.astro.lead-studio.pro/product/9e7552b6-0a26-4f5f-997a-5eed23bf9b56")</f>
      </c>
    </row>
    <row r="2421" spans="1:10" customHeight="0">
      <c r="A2421" s="2" t="inlineStr">
        <is>
          <t>Системы бесперебойного электропитания</t>
        </is>
      </c>
      <c r="B2421" s="2" t="inlineStr">
        <is>
          <t>PowerMan</t>
        </is>
      </c>
      <c r="C2421" s="2" t="inlineStr">
        <is>
          <t>6128102</t>
        </is>
      </c>
      <c r="D2421" s="2" t="inlineStr">
        <is>
          <t>Источник бесперебойного питания PowerMan ИБП Powerman Online 3000 RT EIC, On-line, 2700W/3000VA</t>
        </is>
      </c>
      <c r="E2421" s="2">
        <v>1</v>
      </c>
      <c r="F2421" s="2">
        <v>1</v>
      </c>
      <c r="H2421" s="2">
        <v>608</v>
      </c>
      <c r="I2421" s="2" t="inlineStr">
        <is>
          <t>$</t>
        </is>
      </c>
      <c r="J2421" s="2">
        <f>HYPERLINK("https://app.astro.lead-studio.pro/product/4b25b504-457f-4b11-ab3f-1fd27662a849")</f>
      </c>
    </row>
    <row r="2422" spans="1:10" customHeight="0">
      <c r="A2422" s="2" t="inlineStr">
        <is>
          <t>Системы бесперебойного электропитания</t>
        </is>
      </c>
      <c r="B2422" s="2" t="inlineStr">
        <is>
          <t>PowerMan</t>
        </is>
      </c>
      <c r="C2422" s="2" t="inlineStr">
        <is>
          <t>6128102||bp</t>
        </is>
      </c>
      <c r="D2422" s="2" t="inlineStr">
        <is>
          <t>Источник бесперебойного питания (ИБП) PowerMan Bad Pack ИБП Powerman Online 3000 RT EIC, On-line, 2700W/3000VA</t>
        </is>
      </c>
      <c r="E2422" s="2">
        <v>1</v>
      </c>
      <c r="F2422" s="2">
        <v>1</v>
      </c>
      <c r="H2422" s="2">
        <v>581</v>
      </c>
      <c r="I2422" s="2" t="inlineStr">
        <is>
          <t>$</t>
        </is>
      </c>
      <c r="J2422" s="2">
        <f>HYPERLINK("https://app.astro.lead-studio.pro/product/51883fe2-b1a8-4d88-bc90-263c9994c272")</f>
      </c>
    </row>
    <row r="2423" spans="1:10" customHeight="0">
      <c r="A2423" s="2" t="inlineStr">
        <is>
          <t>Системы бесперебойного электропитания</t>
        </is>
      </c>
      <c r="B2423" s="2" t="inlineStr">
        <is>
          <t>PowerMan</t>
        </is>
      </c>
      <c r="C2423" s="2" t="inlineStr">
        <is>
          <t>6176036</t>
        </is>
      </c>
      <c r="D2423" s="2" t="inlineStr">
        <is>
          <t>Источник бесперебойного питания PowerMan ИБП Powerman Online 2000I IEC320 On-line 1800W/2000VA (531845)</t>
        </is>
      </c>
      <c r="E2423" s="2">
        <v>2</v>
      </c>
      <c r="F2423" s="2">
        <v>2</v>
      </c>
      <c r="H2423" s="2">
        <v>397</v>
      </c>
      <c r="I2423" s="2" t="inlineStr">
        <is>
          <t>$</t>
        </is>
      </c>
      <c r="J2423" s="2">
        <f>HYPERLINK("https://app.astro.lead-studio.pro/product/867251a5-c08e-445a-9215-33c26d99fe55")</f>
      </c>
    </row>
    <row r="2424" spans="1:10" customHeight="0">
      <c r="A2424" s="2" t="inlineStr">
        <is>
          <t>Системы бесперебойного электропитания</t>
        </is>
      </c>
      <c r="B2424" s="2" t="inlineStr">
        <is>
          <t>PowerMan</t>
        </is>
      </c>
      <c r="C2424" s="2" t="inlineStr">
        <is>
          <t>6195629</t>
        </is>
      </c>
      <c r="D2424" s="2" t="inlineStr">
        <is>
          <t>ИБП Powerman Online 3000I N (IEC320)</t>
        </is>
      </c>
      <c r="E2424" s="2">
        <v>9</v>
      </c>
      <c r="F2424" s="2">
        <v>9</v>
      </c>
      <c r="H2424" s="2">
        <v>489</v>
      </c>
      <c r="I2424" s="2" t="inlineStr">
        <is>
          <t>$</t>
        </is>
      </c>
      <c r="J2424" s="2">
        <f>HYPERLINK("https://app.astro.lead-studio.pro/product/f9bfdadc-204b-4987-a941-74f84f3cfd36")</f>
      </c>
    </row>
    <row r="2425" spans="1:10" customHeight="0">
      <c r="A2425" s="2" t="inlineStr">
        <is>
          <t>Системы бесперебойного электропитания</t>
        </is>
      </c>
      <c r="B2425" s="2" t="inlineStr">
        <is>
          <t>IPPON</t>
        </is>
      </c>
      <c r="C2425" s="2" t="inlineStr">
        <is>
          <t>621776</t>
        </is>
      </c>
      <c r="D2425" s="2" t="inlineStr">
        <is>
          <t>Источник бесперебойного питания IPPON ИБП Ippon Innova RT 1000 On-line 900W/1000VA (600015)</t>
        </is>
      </c>
      <c r="E2425" s="2">
        <v>3</v>
      </c>
      <c r="F2425" s="2">
        <v>3</v>
      </c>
      <c r="H2425" s="2">
        <v>508</v>
      </c>
      <c r="I2425" s="2" t="inlineStr">
        <is>
          <t>$</t>
        </is>
      </c>
      <c r="J2425" s="2">
        <f>HYPERLINK("https://app.astro.lead-studio.pro/product/a630295e-643a-4665-ae28-e06c2117ea5c")</f>
      </c>
    </row>
    <row r="2426" spans="1:10" customHeight="0">
      <c r="A2426" s="2" t="inlineStr">
        <is>
          <t>Системы бесперебойного электропитания</t>
        </is>
      </c>
      <c r="B2426" s="2" t="inlineStr">
        <is>
          <t>IPPON</t>
        </is>
      </c>
      <c r="C2426" s="2" t="inlineStr">
        <is>
          <t>621778</t>
        </is>
      </c>
      <c r="D2426" s="2" t="inlineStr">
        <is>
          <t>Источник бесперебойного питания IPPON ИБП Ippon Innova RT 1500 Online 1350W/1500VA (800019)</t>
        </is>
      </c>
      <c r="E2426" s="2">
        <v>9</v>
      </c>
      <c r="F2426" s="2">
        <v>9</v>
      </c>
      <c r="H2426" s="2">
        <v>567</v>
      </c>
      <c r="I2426" s="2" t="inlineStr">
        <is>
          <t>$</t>
        </is>
      </c>
      <c r="J2426" s="2">
        <f>HYPERLINK("https://app.astro.lead-studio.pro/product/88879c7b-65d9-44ac-9dfa-f6da1fc81c1e")</f>
      </c>
    </row>
    <row r="2427" spans="1:10" customHeight="0">
      <c r="A2427" s="2" t="inlineStr">
        <is>
          <t>Системы бесперебойного электропитания</t>
        </is>
      </c>
      <c r="B2427" s="2" t="inlineStr">
        <is>
          <t>IPPON</t>
        </is>
      </c>
      <c r="C2427" s="2" t="inlineStr">
        <is>
          <t>621779</t>
        </is>
      </c>
      <c r="D2427" s="2" t="inlineStr">
        <is>
          <t>Источник бесперебойного питания IPPON ИБП Ippon Innova RT 2000 On-line 1800W/2000VA (900016)</t>
        </is>
      </c>
      <c r="E2427" s="2">
        <v>2</v>
      </c>
      <c r="F2427" s="2">
        <v>2</v>
      </c>
      <c r="H2427" s="2">
        <v>719</v>
      </c>
      <c r="I2427" s="2" t="inlineStr">
        <is>
          <t>$</t>
        </is>
      </c>
      <c r="J2427" s="2">
        <f>HYPERLINK("https://app.astro.lead-studio.pro/product/cb7927b3-a777-465a-8814-9c34ad734087")</f>
      </c>
    </row>
    <row r="2428" spans="1:10" customHeight="0">
      <c r="A2428" s="2" t="inlineStr">
        <is>
          <t>Системы бесперебойного электропитания</t>
        </is>
      </c>
      <c r="B2428" s="2" t="inlineStr">
        <is>
          <t>ACD</t>
        </is>
      </c>
      <c r="C2428" s="2" t="inlineStr">
        <is>
          <t>83-222295-00G</t>
        </is>
      </c>
      <c r="D2428" s="2" t="inlineStr">
        <is>
          <t>Источник бесперебойного питания (ИБП) ACD ИБП ACD PW-RackLine 2000 </t>
        </is>
      </c>
      <c r="E2428" s="2">
        <v>1</v>
      </c>
      <c r="F2428" s="2">
        <v>1</v>
      </c>
      <c r="H2428" s="2">
        <v>404</v>
      </c>
      <c r="I2428" s="2" t="inlineStr">
        <is>
          <t>$</t>
        </is>
      </c>
      <c r="J2428" s="2">
        <f>HYPERLINK("https://app.astro.lead-studio.pro/product/a214d290-115d-479a-a646-8c03bdf5b512")</f>
      </c>
    </row>
    <row r="2429" spans="1:10" customHeight="0">
      <c r="A2429" s="2" t="inlineStr">
        <is>
          <t>Системы бесперебойного электропитания</t>
        </is>
      </c>
      <c r="B2429" s="2" t="inlineStr">
        <is>
          <t>ACD</t>
        </is>
      </c>
      <c r="C2429" s="2" t="inlineStr">
        <is>
          <t>83-222296-00G</t>
        </is>
      </c>
      <c r="D2429" s="2" t="inlineStr">
        <is>
          <t>Источник бесперебойного питания (ИБП) ACD ИБП ACD PW-RackLine 2000I </t>
        </is>
      </c>
      <c r="E2429" s="2">
        <v>1</v>
      </c>
      <c r="F2429" s="2">
        <v>1</v>
      </c>
      <c r="H2429" s="2">
        <v>407</v>
      </c>
      <c r="I2429" s="2" t="inlineStr">
        <is>
          <t>$</t>
        </is>
      </c>
      <c r="J2429" s="2">
        <f>HYPERLINK("https://app.astro.lead-studio.pro/product/2e22e9f3-0ae2-4fd8-9e60-bd130cc3ce4d")</f>
      </c>
    </row>
    <row r="2430" spans="1:10" customHeight="0">
      <c r="A2430" s="2" t="inlineStr">
        <is>
          <t>Системы бесперебойного электропитания</t>
        </is>
      </c>
      <c r="B2430" s="2" t="inlineStr">
        <is>
          <t>ACD</t>
        </is>
      </c>
      <c r="C2430" s="2" t="inlineStr">
        <is>
          <t>83-222297-00G</t>
        </is>
      </c>
      <c r="D2430" s="2" t="inlineStr">
        <is>
          <t>Источник бесперебойного питания (ИБП) ACD ИБП ACD PW-TowerLine 2000 </t>
        </is>
      </c>
      <c r="E2430" s="2">
        <v>1</v>
      </c>
      <c r="F2430" s="2">
        <v>1</v>
      </c>
      <c r="H2430" s="2">
        <v>335</v>
      </c>
      <c r="I2430" s="2" t="inlineStr">
        <is>
          <t>$</t>
        </is>
      </c>
      <c r="J2430" s="2">
        <f>HYPERLINK("https://app.astro.lead-studio.pro/product/9a7c27d3-f9ff-497f-9631-06479ce1475b")</f>
      </c>
    </row>
    <row r="2431" spans="1:10" customHeight="0">
      <c r="A2431" s="2" t="inlineStr">
        <is>
          <t>Системы бесперебойного электропитания</t>
        </is>
      </c>
      <c r="B2431" s="2" t="inlineStr">
        <is>
          <t>ACD</t>
        </is>
      </c>
      <c r="C2431" s="2" t="inlineStr">
        <is>
          <t>83-222298-00G</t>
        </is>
      </c>
      <c r="D2431" s="2" t="inlineStr">
        <is>
          <t>Источник бесперебойного питания (ИБП) ACD ИБП ACD PW-TowerLine 2000I </t>
        </is>
      </c>
      <c r="E2431" s="2">
        <v>1</v>
      </c>
      <c r="F2431" s="2">
        <v>1</v>
      </c>
      <c r="H2431" s="2">
        <v>335</v>
      </c>
      <c r="I2431" s="2" t="inlineStr">
        <is>
          <t>$</t>
        </is>
      </c>
      <c r="J2431" s="2">
        <f>HYPERLINK("https://app.astro.lead-studio.pro/product/7a55efb6-1159-42e7-8bd4-3b67d66041ea")</f>
      </c>
    </row>
    <row r="2432" spans="1:10" customHeight="0">
      <c r="A2432" s="2" t="inlineStr">
        <is>
          <t>Системы бесперебойного электропитания</t>
        </is>
      </c>
      <c r="B2432" s="2" t="inlineStr">
        <is>
          <t>ACD</t>
        </is>
      </c>
      <c r="C2432" s="2" t="inlineStr">
        <is>
          <t>83-222299-00G</t>
        </is>
      </c>
      <c r="D2432" s="2" t="inlineStr">
        <is>
          <t>Источник бесперебойного питания (ИБП) ACD ИБП ACD PW-RackLine Pro 2000I </t>
        </is>
      </c>
      <c r="E2432" s="2">
        <v>1</v>
      </c>
      <c r="F2432" s="2">
        <v>1</v>
      </c>
      <c r="H2432" s="2">
        <v>418</v>
      </c>
      <c r="I2432" s="2" t="inlineStr">
        <is>
          <t>$</t>
        </is>
      </c>
      <c r="J2432" s="2">
        <f>HYPERLINK("https://app.astro.lead-studio.pro/product/95e6b4d3-b620-43f0-9c88-d1fa0f933c22")</f>
      </c>
    </row>
    <row r="2433" spans="1:10" customHeight="0">
      <c r="A2433" s="2" t="inlineStr">
        <is>
          <t>Системы бесперебойного электропитания</t>
        </is>
      </c>
      <c r="B2433" s="2" t="inlineStr">
        <is>
          <t>ACD</t>
        </is>
      </c>
      <c r="C2433" s="2" t="inlineStr">
        <is>
          <t>83-322374-00G</t>
        </is>
      </c>
      <c r="D2433" s="2" t="inlineStr">
        <is>
          <t>Источник бесперебойного питания (ИБП) ACD ИБП ACD PW-RackLine 3000 </t>
        </is>
      </c>
      <c r="E2433" s="2">
        <v>1</v>
      </c>
      <c r="F2433" s="2">
        <v>1</v>
      </c>
      <c r="H2433" s="2">
        <v>474</v>
      </c>
      <c r="I2433" s="2" t="inlineStr">
        <is>
          <t>$</t>
        </is>
      </c>
      <c r="J2433" s="2">
        <f>HYPERLINK("https://app.astro.lead-studio.pro/product/c0e88385-54f7-41da-abec-85301d4db155")</f>
      </c>
    </row>
    <row r="2434" spans="1:10" customHeight="0">
      <c r="A2434" s="2" t="inlineStr">
        <is>
          <t>Системы бесперебойного электропитания</t>
        </is>
      </c>
      <c r="B2434" s="2" t="inlineStr">
        <is>
          <t>ACD</t>
        </is>
      </c>
      <c r="C2434" s="2" t="inlineStr">
        <is>
          <t>83-322375-00G</t>
        </is>
      </c>
      <c r="D2434" s="2" t="inlineStr">
        <is>
          <t>Источник бесперебойного питания (ИБП) ACD ИБП ACD PW-RackLine 3000I </t>
        </is>
      </c>
      <c r="E2434" s="2">
        <v>1</v>
      </c>
      <c r="F2434" s="2">
        <v>1</v>
      </c>
      <c r="H2434" s="2">
        <v>477</v>
      </c>
      <c r="I2434" s="2" t="inlineStr">
        <is>
          <t>$</t>
        </is>
      </c>
      <c r="J2434" s="2">
        <f>HYPERLINK("https://app.astro.lead-studio.pro/product/56f25853-543c-4490-92f0-ce7addbd8c3d")</f>
      </c>
    </row>
    <row r="2435" spans="1:10" customHeight="0">
      <c r="A2435" s="2" t="inlineStr">
        <is>
          <t>Системы бесперебойного электропитания</t>
        </is>
      </c>
      <c r="B2435" s="2" t="inlineStr">
        <is>
          <t>ACD</t>
        </is>
      </c>
      <c r="C2435" s="2" t="inlineStr">
        <is>
          <t>83-322376-00G</t>
        </is>
      </c>
      <c r="D2435" s="2" t="inlineStr">
        <is>
          <t>Источник бесперебойного питания (ИБП) ACD ИБП ACD PW-TowerLine 3000 </t>
        </is>
      </c>
      <c r="E2435" s="2">
        <v>1</v>
      </c>
      <c r="F2435" s="2">
        <v>1</v>
      </c>
      <c r="H2435" s="2">
        <v>422</v>
      </c>
      <c r="I2435" s="2" t="inlineStr">
        <is>
          <t>$</t>
        </is>
      </c>
      <c r="J2435" s="2">
        <f>HYPERLINK("https://app.astro.lead-studio.pro/product/f72c250c-45c8-47fc-98ed-5652464ed3d2")</f>
      </c>
    </row>
    <row r="2436" spans="1:10" customHeight="0">
      <c r="A2436" s="2" t="inlineStr">
        <is>
          <t>Системы бесперебойного электропитания</t>
        </is>
      </c>
      <c r="B2436" s="2" t="inlineStr">
        <is>
          <t>ACD</t>
        </is>
      </c>
      <c r="C2436" s="2" t="inlineStr">
        <is>
          <t>83-322377-00G</t>
        </is>
      </c>
      <c r="D2436" s="2" t="inlineStr">
        <is>
          <t>Источник бесперебойного питания (ИБП) ACD ИБП ACD PW-TowerLine 3000I </t>
        </is>
      </c>
      <c r="E2436" s="2">
        <v>1</v>
      </c>
      <c r="F2436" s="2">
        <v>1</v>
      </c>
      <c r="H2436" s="2">
        <v>425</v>
      </c>
      <c r="I2436" s="2" t="inlineStr">
        <is>
          <t>$</t>
        </is>
      </c>
      <c r="J2436" s="2">
        <f>HYPERLINK("https://app.astro.lead-studio.pro/product/b8a8ce1f-eed6-473e-9d1e-053f0fe1b8bf")</f>
      </c>
    </row>
    <row r="2437" spans="1:10" customHeight="0">
      <c r="A2437" s="2" t="inlineStr">
        <is>
          <t>Системы бесперебойного электропитания</t>
        </is>
      </c>
      <c r="B2437" s="2" t="inlineStr">
        <is>
          <t>ACD</t>
        </is>
      </c>
      <c r="C2437" s="2" t="inlineStr">
        <is>
          <t>83-322378-00G</t>
        </is>
      </c>
      <c r="D2437" s="2" t="inlineStr">
        <is>
          <t>Источник бесперебойного питания (ИБП) ACD ИБП ACD PW-RackLine Pro 3000I </t>
        </is>
      </c>
      <c r="E2437" s="2">
        <v>1</v>
      </c>
      <c r="F2437" s="2">
        <v>1</v>
      </c>
      <c r="H2437" s="2">
        <v>500</v>
      </c>
      <c r="I2437" s="2" t="inlineStr">
        <is>
          <t>$</t>
        </is>
      </c>
      <c r="J2437" s="2">
        <f>HYPERLINK("https://app.astro.lead-studio.pro/product/2d76c46d-1edd-4bee-ba15-75b80dce2bf7")</f>
      </c>
    </row>
    <row r="2438" spans="1:10" customHeight="0">
      <c r="A2438" s="2" t="inlineStr">
        <is>
          <t>Системы бесперебойного электропитания</t>
        </is>
      </c>
      <c r="B2438" s="2" t="inlineStr">
        <is>
          <t>ACD</t>
        </is>
      </c>
      <c r="C2438" s="2" t="inlineStr">
        <is>
          <t>88-901705-00G</t>
        </is>
      </c>
      <c r="D2438" s="2" t="inlineStr">
        <is>
          <t>Источник бесперебойного питания (ИБП) ACD ИБП ACD PW-RackLine Pro 6000T </t>
        </is>
      </c>
      <c r="E2438" s="2">
        <v>1</v>
      </c>
      <c r="F2438" s="2">
        <v>1</v>
      </c>
      <c r="H2438" s="2">
        <v>1265</v>
      </c>
      <c r="I2438" s="2" t="inlineStr">
        <is>
          <t>$</t>
        </is>
      </c>
      <c r="J2438" s="2">
        <f>HYPERLINK("https://app.astro.lead-studio.pro/product/9c66ec9a-28f9-4740-be18-df1b6de451be")</f>
      </c>
    </row>
    <row r="2439" spans="1:10" customHeight="0">
      <c r="A2439" s="2" t="inlineStr">
        <is>
          <t>Системы бесперебойного электропитания</t>
        </is>
      </c>
      <c r="B2439" s="2" t="inlineStr">
        <is>
          <t>Qdion</t>
        </is>
      </c>
      <c r="C2439" s="2" t="inlineStr">
        <is>
          <t>Custos One+ TW 2K Euro</t>
        </is>
      </c>
      <c r="D2439" s="2" t="inlineStr">
        <is>
          <t>Источник бесперебойного питания Qdion ИБП Qdion Custos One+ TW Euro Online 2000W/2000VA (83-222073-006)</t>
        </is>
      </c>
      <c r="E2439" s="2">
        <v>1</v>
      </c>
      <c r="F2439" s="2">
        <v>1</v>
      </c>
      <c r="H2439" s="2">
        <v>370</v>
      </c>
      <c r="I2439" s="2" t="inlineStr">
        <is>
          <t>$</t>
        </is>
      </c>
      <c r="J2439" s="2">
        <f>HYPERLINK("https://app.astro.lead-studio.pro/product/74e1f502-2d36-4b29-87f4-3f5598aa65f7")</f>
      </c>
    </row>
    <row r="2440" spans="1:10" customHeight="0">
      <c r="A2440" s="2" t="inlineStr">
        <is>
          <t>Системы бесперебойного электропитания</t>
        </is>
      </c>
      <c r="B2440" s="2" t="inlineStr">
        <is>
          <t>Raskat</t>
        </is>
      </c>
      <c r="C2440" s="2" t="inlineStr">
        <is>
          <t>HIO-3000VA+</t>
        </is>
      </c>
      <c r="D2440" s="2" t="inlineStr">
        <is>
          <t>Источник бесперебойного питания (ИБП) Raskat HIO-3000VA+ (3000ВА, 2700Вт, 6xIEC320, LCD, USB type-B, 1xRS232, чистая синусоида)</t>
        </is>
      </c>
      <c r="E2440" s="2">
        <v>50</v>
      </c>
      <c r="F2440" s="2">
        <v>50</v>
      </c>
      <c r="H2440" s="2">
        <v>359</v>
      </c>
      <c r="I2440" s="2" t="inlineStr">
        <is>
          <t>$</t>
        </is>
      </c>
      <c r="J2440" s="2">
        <f>HYPERLINK("https://app.astro.lead-studio.pro/product/32e0aa7b-0455-4d4b-919c-2c1514a808e5")</f>
      </c>
    </row>
    <row r="2441" spans="1:10" customHeight="0">
      <c r="A2441" s="2" t="inlineStr">
        <is>
          <t>Системы бесперебойного электропитания</t>
        </is>
      </c>
      <c r="B2441" s="2" t="inlineStr">
        <is>
          <t>CyberPower</t>
        </is>
      </c>
      <c r="C2441" s="2" t="inlineStr">
        <is>
          <t>OLS1500E</t>
        </is>
      </c>
      <c r="D2441" s="2" t="inlineStr">
        <is>
          <t>Источник бесперебойного питания (ИБП) CyberPower ИБП Online CyberPower OLS1500E Tower 1500VA/1350W USB/RS-232/SNMPslot </t>
        </is>
      </c>
      <c r="E2441" s="2">
        <v>1</v>
      </c>
      <c r="F2441" s="2">
        <v>1</v>
      </c>
      <c r="H2441" s="2">
        <v>442</v>
      </c>
      <c r="I2441" s="2" t="inlineStr">
        <is>
          <t>$</t>
        </is>
      </c>
      <c r="J2441" s="2">
        <f>HYPERLINK("https://app.astro.lead-studio.pro/product/dcc329da-cde4-4f84-b883-da15cc8c4792")</f>
      </c>
    </row>
    <row r="2442" spans="1:10" customHeight="0">
      <c r="A2442" s="2" t="inlineStr">
        <is>
          <t>Системы бесперебойного электропитания</t>
        </is>
      </c>
      <c r="B2442" s="2" t="inlineStr">
        <is>
          <t>CyberPower</t>
        </is>
      </c>
      <c r="C2442" s="2" t="inlineStr">
        <is>
          <t>OLS1500ERT2U</t>
        </is>
      </c>
      <c r="D2442" s="2" t="inlineStr">
        <is>
          <t>Источник бесперебойного питания (ИБП) CyberPower ИБП Online CyberPower OLS1500ERT2U 1500VA/1350W USB/RS-232/EPO/SNMPslot/RJ11/45/ВБМ </t>
        </is>
      </c>
      <c r="E2442" s="2">
        <v>2</v>
      </c>
      <c r="F2442" s="2">
        <v>2</v>
      </c>
      <c r="H2442" s="2">
        <v>966</v>
      </c>
      <c r="I2442" s="2" t="inlineStr">
        <is>
          <t>$</t>
        </is>
      </c>
      <c r="J2442" s="2">
        <f>HYPERLINK("https://app.astro.lead-studio.pro/product/8118a637-f2c8-4afb-836b-6c9eecd07fef")</f>
      </c>
    </row>
    <row r="2443" spans="1:10" customHeight="0">
      <c r="A2443" s="2" t="inlineStr">
        <is>
          <t>Системы бесперебойного электропитания</t>
        </is>
      </c>
      <c r="B2443" s="2" t="inlineStr">
        <is>
          <t>CyberPower</t>
        </is>
      </c>
      <c r="C2443" s="2" t="inlineStr">
        <is>
          <t>OLS2000E</t>
        </is>
      </c>
      <c r="D2443" s="2" t="inlineStr">
        <is>
          <t>Источник бесперебойного питания (ИБП) CyberPower ИБП Online CyberPower OLS2000E Tower 2000VA/1800W USB/RS-232/SNMPslot </t>
        </is>
      </c>
      <c r="E2443" s="2">
        <v>5</v>
      </c>
      <c r="F2443" s="2">
        <v>5</v>
      </c>
      <c r="H2443" s="2">
        <v>591</v>
      </c>
      <c r="I2443" s="2" t="inlineStr">
        <is>
          <t>$</t>
        </is>
      </c>
      <c r="J2443" s="2">
        <f>HYPERLINK("https://app.astro.lead-studio.pro/product/c8bbbe8a-e043-41e5-86d1-38698e5325b1")</f>
      </c>
    </row>
    <row r="2444" spans="1:10" customHeight="0">
      <c r="A2444" s="2" t="inlineStr">
        <is>
          <t>Системы бесперебойного электропитания</t>
        </is>
      </c>
      <c r="B2444" s="2" t="inlineStr">
        <is>
          <t>CyberPower</t>
        </is>
      </c>
      <c r="C2444" s="2" t="inlineStr">
        <is>
          <t>OLS2000ERT2U</t>
        </is>
      </c>
      <c r="D2444" s="2" t="inlineStr">
        <is>
          <t>Источник бесперебойного питания (ИБП) CyberPower ИБП Online CyberPower OLS2000ERT2U 2000VA/1800W USB/RS-232/EPO/SNMPslot/RJ11/45/ВБМ </t>
        </is>
      </c>
      <c r="E2444" s="2">
        <v>4</v>
      </c>
      <c r="F2444" s="2">
        <v>4</v>
      </c>
      <c r="H2444" s="2">
        <v>1113</v>
      </c>
      <c r="I2444" s="2" t="inlineStr">
        <is>
          <t>$</t>
        </is>
      </c>
      <c r="J2444" s="2">
        <f>HYPERLINK("https://app.astro.lead-studio.pro/product/07c7a4db-e205-4e09-9167-567cbae4fe32")</f>
      </c>
    </row>
    <row r="2445" spans="1:10" customHeight="0">
      <c r="A2445" s="2" t="inlineStr">
        <is>
          <t>Системы бесперебойного электропитания</t>
        </is>
      </c>
      <c r="B2445" s="2" t="inlineStr">
        <is>
          <t>CyberPower</t>
        </is>
      </c>
      <c r="C2445" s="2" t="inlineStr">
        <is>
          <t>PR1000ELCD</t>
        </is>
      </c>
      <c r="D2445" s="2" t="inlineStr">
        <is>
          <t>Источник бесперебойного питания (ИБП) CyberPower ИБП Line-Interactive CyberPower PR1000ELCD 1000VA/900W USB/RS-232/EPO/SNMPslot (8 IEC С13) </t>
        </is>
      </c>
      <c r="E2445" s="2">
        <v>2</v>
      </c>
      <c r="F2445" s="2">
        <v>2</v>
      </c>
      <c r="H2445" s="2">
        <v>792</v>
      </c>
      <c r="I2445" s="2" t="inlineStr">
        <is>
          <t>$</t>
        </is>
      </c>
      <c r="J2445" s="2">
        <f>HYPERLINK("https://app.astro.lead-studio.pro/product/38f4882f-3c94-4828-b9f9-e9aa85cb81fd")</f>
      </c>
    </row>
    <row r="2446" spans="1:10" customHeight="0">
      <c r="A2446" s="2" t="inlineStr">
        <is>
          <t>Системы бесперебойного электропитания</t>
        </is>
      </c>
      <c r="B2446" s="2" t="inlineStr">
        <is>
          <t>CyberPower</t>
        </is>
      </c>
      <c r="C2446" s="2" t="inlineStr">
        <is>
          <t>PR1500ELCD</t>
        </is>
      </c>
      <c r="D2446" s="2" t="inlineStr">
        <is>
          <t>ИБП Line-Interactive CyberPower PR1500ELCD 1500VA/1350W USB/RS-232/EPO/SNMPslot (8 IEC С13)</t>
        </is>
      </c>
      <c r="E2446" s="2">
        <v>2</v>
      </c>
      <c r="F2446" s="2">
        <v>2</v>
      </c>
      <c r="H2446" s="2">
        <v>899</v>
      </c>
      <c r="I2446" s="2" t="inlineStr">
        <is>
          <t>$</t>
        </is>
      </c>
      <c r="J2446" s="2">
        <f>HYPERLINK("https://app.astro.lead-studio.pro/product/190ceda5-d9f2-4d67-b706-094d8b86bfa0")</f>
      </c>
    </row>
    <row r="2447" spans="1:10" customHeight="0">
      <c r="A2447" s="2" t="inlineStr">
        <is>
          <t>Системы бесперебойного электропитания</t>
        </is>
      </c>
      <c r="B2447" s="2" t="inlineStr">
        <is>
          <t>CyberPower</t>
        </is>
      </c>
      <c r="C2447" s="2" t="inlineStr">
        <is>
          <t>PR2200ELCDSL</t>
        </is>
      </c>
      <c r="D2447" s="2" t="inlineStr">
        <is>
          <t>Источник бесперебойного питания (ИБП) CyberPower ИБП Line-Interactive CyberPower PR2200ELCDSL 2200VA/1980W USB/RS-232/EPO/SNMPslot (8 IEC С13, 1 IEC  </t>
        </is>
      </c>
      <c r="E2447" s="2">
        <v>1</v>
      </c>
      <c r="F2447" s="2">
        <v>1</v>
      </c>
      <c r="H2447" s="2">
        <v>625</v>
      </c>
      <c r="I2447" s="2" t="inlineStr">
        <is>
          <t>$</t>
        </is>
      </c>
      <c r="J2447" s="2">
        <f>HYPERLINK("https://app.astro.lead-studio.pro/product/9d78b41d-f210-41ef-afe3-ecc93ba17665")</f>
      </c>
    </row>
    <row r="2448" spans="1:10" customHeight="0">
      <c r="A2448" s="2" t="inlineStr">
        <is>
          <t>Системы бесперебойного электропитания</t>
        </is>
      </c>
      <c r="B2448" s="2" t="inlineStr">
        <is>
          <t>CyberPower</t>
        </is>
      </c>
      <c r="C2448" s="2" t="inlineStr">
        <is>
          <t>PR2200ERTXL2U</t>
        </is>
      </c>
      <c r="D2448" s="2" t="inlineStr">
        <is>
          <t>Источник бесперебойного питания (ИБП) CyberPower ИБП Line-Interactive CyberPower PR2200ERTXL2U 2200VA/2200W USB/RS-232/EPO/Dry/SNMPslot </t>
        </is>
      </c>
      <c r="E2448" s="2">
        <v>1</v>
      </c>
      <c r="F2448" s="2">
        <v>1</v>
      </c>
      <c r="H2448" s="2">
        <v>1653</v>
      </c>
      <c r="I2448" s="2" t="inlineStr">
        <is>
          <t>$</t>
        </is>
      </c>
      <c r="J2448" s="2">
        <f>HYPERLINK("https://app.astro.lead-studio.pro/product/e520f02c-58b7-4b59-a776-d2fc7c20b1ea")</f>
      </c>
    </row>
    <row r="2449" spans="1:10" customHeight="0">
      <c r="A2449" s="2" t="inlineStr">
        <is>
          <t>Системы бесперебойного электропитания</t>
        </is>
      </c>
      <c r="B2449" s="2" t="inlineStr">
        <is>
          <t>CyberPower</t>
        </is>
      </c>
      <c r="C2449" s="2" t="inlineStr">
        <is>
          <t>PR3000ELCDSL</t>
        </is>
      </c>
      <c r="D2449" s="2" t="inlineStr">
        <is>
          <t>Источник бесперебойного питания (ИБП) CyberPower ИБП Line-Interactive CyberPower PR3000ELCDSL 3000VA/2700W USB/RS-232/EPO/SNMPslot (8 IEC С13, 1 IEC  </t>
        </is>
      </c>
      <c r="E2449" s="2">
        <v>1</v>
      </c>
      <c r="F2449" s="2">
        <v>1</v>
      </c>
      <c r="H2449" s="2">
        <v>632</v>
      </c>
      <c r="I2449" s="2" t="inlineStr">
        <is>
          <t>$</t>
        </is>
      </c>
      <c r="J2449" s="2">
        <f>HYPERLINK("https://app.astro.lead-studio.pro/product/eace7a4a-2757-49e6-ae82-68440b03fe0b")</f>
      </c>
    </row>
    <row r="2450" spans="1:10" customHeight="0">
      <c r="A2450" s="2" t="inlineStr">
        <is>
          <t>Системы бесперебойного электропитания</t>
        </is>
      </c>
      <c r="B2450" s="2" t="inlineStr">
        <is>
          <t>ACD</t>
        </is>
      </c>
      <c r="C2450" s="2" t="inlineStr">
        <is>
          <t>PW-RackLine Pro 10000T</t>
        </is>
      </c>
      <c r="D2450" s="2" t="inlineStr">
        <is>
          <t>Источник бесперебойного питания (ИБП) ACD ИБП ACD PW-RackLine Pro 10000T </t>
        </is>
      </c>
      <c r="E2450" s="2">
        <v>1</v>
      </c>
      <c r="F2450" s="2">
        <v>1</v>
      </c>
      <c r="H2450" s="2">
        <v>1260</v>
      </c>
      <c r="I2450" s="2" t="inlineStr">
        <is>
          <t>$</t>
        </is>
      </c>
      <c r="J2450" s="2">
        <f>HYPERLINK("https://app.astro.lead-studio.pro/product/40bf5e7a-172f-46e8-aeb8-72f6b1304da1")</f>
      </c>
    </row>
    <row r="2451" spans="1:10" customHeight="0">
      <c r="A2451" s="2" t="inlineStr">
        <is>
          <t>Системы бесперебойного электропитания</t>
        </is>
      </c>
      <c r="B2451" s="2" t="inlineStr">
        <is>
          <t>nJoy</t>
        </is>
      </c>
      <c r="C2451" s="2" t="inlineStr">
        <is>
          <t>PWUP-LI220AG-CG01B</t>
        </is>
      </c>
      <c r="D2451" s="2" t="inlineStr">
        <is>
          <t>Источник бесперебойного питания nJoy ИБП nJoy Argus 2200 IEC Line-interactive 1320W/2200VA</t>
        </is>
      </c>
      <c r="E2451" s="2">
        <v>8</v>
      </c>
      <c r="F2451" s="2">
        <v>8</v>
      </c>
      <c r="H2451" s="2">
        <v>334</v>
      </c>
      <c r="I2451" s="2" t="inlineStr">
        <is>
          <t>$</t>
        </is>
      </c>
      <c r="J2451" s="2">
        <f>HYPERLINK("https://app.astro.lead-studio.pro/product/28a6f186-fd6b-424c-8395-2d97c2815bcd")</f>
      </c>
    </row>
    <row r="2452" spans="1:10" customHeight="0">
      <c r="A2452" s="2" t="inlineStr">
        <is>
          <t>Системы бесперебойного электропитания</t>
        </is>
      </c>
      <c r="B2452" s="2" t="inlineStr">
        <is>
          <t>nJoy</t>
        </is>
      </c>
      <c r="C2452" s="2" t="inlineStr">
        <is>
          <t>PWUP-OL300BA-AZ01B||bp</t>
        </is>
      </c>
      <c r="D2452" s="2" t="inlineStr">
        <is>
          <t>Источник бесперебойного питания nJoy ИБП nJoy Balder 3000 IEC On-line 3000W/3000VA</t>
        </is>
      </c>
      <c r="E2452" s="2">
        <v>2</v>
      </c>
      <c r="F2452" s="2">
        <v>2</v>
      </c>
      <c r="H2452" s="2">
        <v>794</v>
      </c>
      <c r="I2452" s="2" t="inlineStr">
        <is>
          <t>$</t>
        </is>
      </c>
      <c r="J2452" s="2">
        <f>HYPERLINK("https://app.astro.lead-studio.pro/product/0d6fe1db-d7e6-408a-85ba-cdb4151053d3")</f>
      </c>
    </row>
    <row r="2453" spans="1:10" customHeight="0">
      <c r="A2453" s="2" t="inlineStr">
        <is>
          <t>Системы бесперебойного электропитания</t>
        </is>
      </c>
      <c r="B2453" s="2" t="inlineStr">
        <is>
          <t>Crusader</t>
        </is>
      </c>
      <c r="C2453" s="2" t="inlineStr">
        <is>
          <t>RTIO-2000VA</t>
        </is>
      </c>
      <c r="D2453" s="2" t="inlineStr">
        <is>
          <t>Источник бесперебойного питания (ИБП) Raskat Crusader Stabline RTIO-2000VA 2KVA rack&amp;tower online UPS, 4pcs 9AH battery</t>
        </is>
      </c>
      <c r="E2453" s="2">
        <v>16</v>
      </c>
      <c r="F2453" s="2">
        <v>16</v>
      </c>
      <c r="H2453" s="2">
        <v>381</v>
      </c>
      <c r="I2453" s="2" t="inlineStr">
        <is>
          <t>$</t>
        </is>
      </c>
      <c r="J2453" s="2">
        <f>HYPERLINK("https://app.astro.lead-studio.pro/product/a0f3218a-6aec-4582-8171-5263ba28ce80")</f>
      </c>
    </row>
    <row r="2454" spans="1:10" customHeight="0">
      <c r="A2454" s="2" t="inlineStr">
        <is>
          <t>Системы бесперебойного электропитания</t>
        </is>
      </c>
      <c r="B2454" s="2" t="inlineStr">
        <is>
          <t>Crusader</t>
        </is>
      </c>
      <c r="C2454" s="2" t="inlineStr">
        <is>
          <t>RTIO-3000VA</t>
        </is>
      </c>
      <c r="D2454" s="2" t="inlineStr">
        <is>
          <t>Источник бесперебойного питания ИБП Crusader Stabline RTIO-3000VA (3000Ва, 2700Вт, 8xIEC320, LCD, USB type-B, 1xRS232, SNMP-слот, чистая синусоида)</t>
        </is>
      </c>
      <c r="E2454" s="2">
        <v>20</v>
      </c>
      <c r="F2454" s="2">
        <v>20</v>
      </c>
      <c r="H2454" s="2">
        <v>478</v>
      </c>
      <c r="I2454" s="2" t="inlineStr">
        <is>
          <t>$</t>
        </is>
      </c>
      <c r="J2454" s="2">
        <f>HYPERLINK("https://app.astro.lead-studio.pro/product/afde4c40-a886-4e79-bb22-f6320bcda905")</f>
      </c>
    </row>
    <row r="2455" spans="1:10" customHeight="0">
      <c r="A2455" s="2" t="inlineStr">
        <is>
          <t>Системы бесперебойного электропитания</t>
        </is>
      </c>
      <c r="B2455" s="2" t="inlineStr">
        <is>
          <t>POWERCOM</t>
        </is>
      </c>
      <c r="C2455" s="2" t="inlineStr">
        <is>
          <t>SRT1000A LCD</t>
        </is>
      </c>
      <c r="D2455" s="2" t="inlineStr">
        <is>
          <t>Источник бесперебойного питания Powercom Smart-UPS SMART RT, Line-Interactive , 1000VA/900W</t>
        </is>
      </c>
      <c r="E2455" s="2">
        <v>2</v>
      </c>
      <c r="F2455" s="2">
        <v>2</v>
      </c>
      <c r="H2455" s="2">
        <v>386</v>
      </c>
      <c r="I2455" s="2" t="inlineStr">
        <is>
          <t>$</t>
        </is>
      </c>
      <c r="J2455" s="2">
        <f>HYPERLINK("https://app.astro.lead-studio.pro/product/b3461fba-8f01-4ac2-89db-0b3231cfd246")</f>
      </c>
    </row>
    <row r="2456" spans="1:10" customHeight="0">
      <c r="A2456" s="2" t="inlineStr">
        <is>
          <t>Системы бесперебойного электропитания</t>
        </is>
      </c>
      <c r="B2456" s="2" t="inlineStr">
        <is>
          <t>POWERCOM</t>
        </is>
      </c>
      <c r="C2456" s="2" t="inlineStr">
        <is>
          <t>SRT-1500A LCD</t>
        </is>
      </c>
      <c r="D2456" s="2" t="inlineStr">
        <is>
          <t>Источник бесперебойного питания POWERCOM ИБП Powercom SMART RACK&amp;TOWER RT SRT-1500A LCD line-interactive 1350W/1500VA (037462)</t>
        </is>
      </c>
      <c r="E2456" s="2">
        <v>1</v>
      </c>
      <c r="F2456" s="2">
        <v>1</v>
      </c>
      <c r="H2456" s="2">
        <v>483</v>
      </c>
      <c r="I2456" s="2" t="inlineStr">
        <is>
          <t>$</t>
        </is>
      </c>
      <c r="J2456" s="2">
        <f>HYPERLINK("https://app.astro.lead-studio.pro/product/9680616d-5b27-4729-8fed-b38fff0e5758")</f>
      </c>
    </row>
    <row r="2457" spans="1:10" customHeight="0">
      <c r="A2457" s="2" t="inlineStr">
        <is>
          <t>Системы бесперебойного электропитания</t>
        </is>
      </c>
      <c r="B2457" s="2" t="inlineStr">
        <is>
          <t>nJoy</t>
        </is>
      </c>
      <c r="C2457" s="2" t="inlineStr">
        <is>
          <t>UP33TOP110KGAAZ02B</t>
        </is>
      </c>
      <c r="D2457" s="2" t="inlineStr">
        <is>
          <t>Источник бесперебойного питания nJoy ИБП nJoy Garun 10KL On-line 10000W/10000VA (UP33TOP110KGAAZ02B) (011871)</t>
        </is>
      </c>
      <c r="E2457" s="2">
        <v>1</v>
      </c>
      <c r="F2457" s="2">
        <v>1</v>
      </c>
      <c r="H2457" s="2">
        <v>2743</v>
      </c>
      <c r="I2457" s="2" t="inlineStr">
        <is>
          <t>$</t>
        </is>
      </c>
      <c r="J2457" s="2">
        <f>HYPERLINK("https://app.astro.lead-studio.pro/product/b0dfb784-b638-406a-9052-865e813236a9")</f>
      </c>
    </row>
    <row r="2458" spans="1:10" customHeight="0">
      <c r="A2458" s="2" t="inlineStr">
        <is>
          <t>Системы бесперебойного электропитания</t>
        </is>
      </c>
      <c r="B2458" s="2" t="inlineStr">
        <is>
          <t>nJoy</t>
        </is>
      </c>
      <c r="C2458" s="2" t="inlineStr">
        <is>
          <t>UP33TOP130KRAAZ01B</t>
        </is>
      </c>
      <c r="D2458" s="2" t="inlineStr">
        <is>
          <t>Источник бесперебойного питания nJoy ИБП nJoy Ranger 30KT 30000W/30000VA (UP33TOP130KRAAZ01B) (012328)</t>
        </is>
      </c>
      <c r="E2458" s="2">
        <v>1</v>
      </c>
      <c r="F2458" s="2">
        <v>1</v>
      </c>
      <c r="H2458" s="2">
        <v>4408</v>
      </c>
      <c r="I2458" s="2" t="inlineStr">
        <is>
          <t>$</t>
        </is>
      </c>
      <c r="J2458" s="2">
        <f>HYPERLINK("https://app.astro.lead-studio.pro/product/692b5d78-3b03-4e8b-8c43-92aa079ee89b")</f>
      </c>
    </row>
    <row r="2459" spans="1:10" customHeight="0">
      <c r="A2459" s="2" t="inlineStr">
        <is>
          <t>Системы бесперебойного электропитания</t>
        </is>
      </c>
      <c r="B2459" s="2" t="inlineStr">
        <is>
          <t>nJoy</t>
        </is>
      </c>
      <c r="C2459" s="2" t="inlineStr">
        <is>
          <t>UP33TOP160KGAAZ01B</t>
        </is>
      </c>
      <c r="D2459" s="2" t="inlineStr">
        <is>
          <t>Источник бесперебойного питания nJoy ИБП nJoy Garun 60KL On-line 60000W/60000VA (UP33TOP160KGAAZ01B) (009434)</t>
        </is>
      </c>
      <c r="E2459" s="2">
        <v>2</v>
      </c>
      <c r="F2459" s="2">
        <v>2</v>
      </c>
      <c r="H2459" s="2">
        <v>7412</v>
      </c>
      <c r="I2459" s="2" t="inlineStr">
        <is>
          <t>$</t>
        </is>
      </c>
      <c r="J2459" s="2">
        <f>HYPERLINK("https://app.astro.lead-studio.pro/product/43a4a16b-4cd2-4741-8c43-43b3c9f164d9")</f>
      </c>
    </row>
    <row r="2460" spans="1:10" customHeight="0">
      <c r="A2460" s="2" t="inlineStr">
        <is>
          <t>Системы бесперебойного электропитания</t>
        </is>
      </c>
      <c r="B2460" s="2" t="inlineStr">
        <is>
          <t>nJoy</t>
        </is>
      </c>
      <c r="C2460" s="2" t="inlineStr">
        <is>
          <t>UP33TOP180KGAAZ01B</t>
        </is>
      </c>
      <c r="D2460" s="2" t="inlineStr">
        <is>
          <t>Источник бесперебойного питания nJoy ИБП nJoy Garun 80KL On-line 80000W/80000VA (UP33TOP180KGAAZ01B) (009441)</t>
        </is>
      </c>
      <c r="E2460" s="2">
        <v>1</v>
      </c>
      <c r="F2460" s="2">
        <v>1</v>
      </c>
      <c r="H2460" s="2">
        <v>6412</v>
      </c>
      <c r="I2460" s="2" t="inlineStr">
        <is>
          <t>$</t>
        </is>
      </c>
      <c r="J2460" s="2">
        <f>HYPERLINK("https://app.astro.lead-studio.pro/product/17c3c425-0b8d-4982-985b-43ace405e94f")</f>
      </c>
    </row>
    <row r="2461" spans="1:10" customHeight="0">
      <c r="A2461" s="2" t="inlineStr">
        <is>
          <t>Системы бесперебойного электропитания</t>
        </is>
      </c>
      <c r="B2461" s="2" t="inlineStr">
        <is>
          <t>nJoy</t>
        </is>
      </c>
      <c r="C2461" s="2" t="inlineStr">
        <is>
          <t>UPCMCOP110HBAAZ01B</t>
        </is>
      </c>
      <c r="D2461" s="2" t="inlineStr">
        <is>
          <t>Источник бесперебойного питания nJoy ИБП nJoy Balder 1000 IEC On-line 1000W/1000VA</t>
        </is>
      </c>
      <c r="E2461" s="2">
        <v>3</v>
      </c>
      <c r="F2461" s="2">
        <v>3</v>
      </c>
      <c r="H2461" s="2">
        <v>441</v>
      </c>
      <c r="I2461" s="2" t="inlineStr">
        <is>
          <t>$</t>
        </is>
      </c>
      <c r="J2461" s="2">
        <f>HYPERLINK("https://app.astro.lead-studio.pro/product/476cc722-c998-4abd-acc2-124e6b78ceb4")</f>
      </c>
    </row>
    <row r="2462" spans="1:10" customHeight="0">
      <c r="A2462" s="2" t="inlineStr">
        <is>
          <t>Системы бесперебойного электропитания</t>
        </is>
      </c>
      <c r="B2462" s="2" t="inlineStr">
        <is>
          <t>nJoy</t>
        </is>
      </c>
      <c r="C2462" s="2" t="inlineStr">
        <is>
          <t>UPCMCOP120HBAAZ01B</t>
        </is>
      </c>
      <c r="D2462" s="2" t="inlineStr">
        <is>
          <t>Источник бесперебойного питания nJoy ИБП nJoy Balder 2000 IEC On-line 2000W/2000VA</t>
        </is>
      </c>
      <c r="E2462" s="2">
        <v>5</v>
      </c>
      <c r="F2462" s="2">
        <v>5</v>
      </c>
      <c r="H2462" s="2">
        <v>638</v>
      </c>
      <c r="I2462" s="2" t="inlineStr">
        <is>
          <t>$</t>
        </is>
      </c>
      <c r="J2462" s="2">
        <f>HYPERLINK("https://app.astro.lead-studio.pro/product/0f04442c-ad59-471b-81cd-d0da79c3c449")</f>
      </c>
    </row>
    <row r="2463" spans="1:10" customHeight="0">
      <c r="A2463" s="2" t="inlineStr">
        <is>
          <t>Системы бесперебойного электропитания</t>
        </is>
      </c>
      <c r="B2463" s="2" t="inlineStr">
        <is>
          <t>nJoy</t>
        </is>
      </c>
      <c r="C2463" s="2" t="inlineStr">
        <is>
          <t>UPCMCOP920HASCG01B</t>
        </is>
      </c>
      <c r="D2463" s="2" t="inlineStr">
        <is>
          <t>Источник бесперебойного питания nJoy ИБП nJoy Aster 2K IEC On-line 1800W/2000VA</t>
        </is>
      </c>
      <c r="E2463" s="2">
        <v>1</v>
      </c>
      <c r="F2463" s="2">
        <v>1</v>
      </c>
      <c r="H2463" s="2">
        <v>400</v>
      </c>
      <c r="I2463" s="2" t="inlineStr">
        <is>
          <t>$</t>
        </is>
      </c>
      <c r="J2463" s="2">
        <f>HYPERLINK("https://app.astro.lead-studio.pro/product/cc21d465-26d8-4d53-8ce5-a74b8f986777")</f>
      </c>
    </row>
    <row r="2464" spans="1:10" customHeight="0">
      <c r="A2464" s="2" t="inlineStr">
        <is>
          <t>Системы бесперебойного электропитания</t>
        </is>
      </c>
      <c r="B2464" s="2" t="inlineStr">
        <is>
          <t>Связь Инжиниринг</t>
        </is>
      </c>
      <c r="C2464" s="2" t="inlineStr">
        <is>
          <t>АПСМ.435241.017-06</t>
        </is>
      </c>
      <c r="D2464" s="2" t="inlineStr">
        <is>
          <t>Источник бесперебойного питания (ИБП) Связь Инжиниринг ИБП Связь Инжиниринг СИПБ1,5КA.9-11/СУХ 1350W/1500VA RT </t>
        </is>
      </c>
      <c r="E2464" s="2">
        <v>1</v>
      </c>
      <c r="F2464" s="2">
        <v>1</v>
      </c>
      <c r="H2464" s="2">
        <v>849</v>
      </c>
      <c r="I2464" s="2" t="inlineStr">
        <is>
          <t>$</t>
        </is>
      </c>
      <c r="J2464" s="2">
        <f>HYPERLINK("https://app.astro.lead-studio.pro/product/9298c9c6-78e7-4177-87ec-d936ecbdb1bf")</f>
      </c>
    </row>
    <row r="2465" spans="1:10" customHeight="0">
      <c r="A2465" s="2" t="inlineStr">
        <is>
          <t>Системы бесперебойного электропитания</t>
        </is>
      </c>
      <c r="B2465" s="2" t="inlineStr">
        <is>
          <t>Связь Инжиниринг</t>
        </is>
      </c>
      <c r="C2465" s="2" t="inlineStr">
        <is>
          <t>АПСМ.435241.025-01</t>
        </is>
      </c>
      <c r="D2465" s="2" t="inlineStr">
        <is>
          <t>ИБП Связь Инжиниринг СИПБ1,5КА.10-11 1500W/1500VA RT</t>
        </is>
      </c>
      <c r="E2465" s="2">
        <v>3</v>
      </c>
      <c r="F2465" s="2">
        <v>3</v>
      </c>
      <c r="H2465" s="2">
        <v>587</v>
      </c>
      <c r="I2465" s="2" t="inlineStr">
        <is>
          <t>$</t>
        </is>
      </c>
      <c r="J2465" s="2">
        <f>HYPERLINK("https://app.astro.lead-studio.pro/product/791b92a0-9e54-43be-b098-de259b0e40ae")</f>
      </c>
    </row>
    <row r="2466" spans="1:10" customHeight="0">
      <c r="A2466" s="2" t="inlineStr">
        <is>
          <t>Системы бесперебойного электропитания</t>
        </is>
      </c>
      <c r="B2466" s="2" t="inlineStr">
        <is>
          <t>Связь Инжиниринг</t>
        </is>
      </c>
      <c r="C2466" s="2" t="inlineStr">
        <is>
          <t>АПСМ.435241.026-01.01</t>
        </is>
      </c>
      <c r="D2466" s="2" t="inlineStr">
        <is>
          <t>Источник бесперебойного питания (ИБП) Связь Инжиниринг ИБП Связь Инжиниринг СИПБ2КА.10-11/СУХ 2000W/2000VA RT </t>
        </is>
      </c>
      <c r="E2466" s="2">
        <v>5</v>
      </c>
      <c r="F2466" s="2">
        <v>5</v>
      </c>
      <c r="H2466" s="2">
        <v>870</v>
      </c>
      <c r="I2466" s="2" t="inlineStr">
        <is>
          <t>$</t>
        </is>
      </c>
      <c r="J2466" s="2">
        <f>HYPERLINK("https://app.astro.lead-studio.pro/product/79a2ad82-84be-41aa-ab42-4a44bf27eeb8")</f>
      </c>
    </row>
    <row r="2467" spans="1:10" customHeight="0">
      <c r="A2467" s="2" t="inlineStr">
        <is>
          <t>Системы бесперебойного электропитания</t>
        </is>
      </c>
      <c r="B2467" s="2" t="inlineStr">
        <is>
          <t>Связь Инжиниринг</t>
        </is>
      </c>
      <c r="C2467" s="2" t="inlineStr">
        <is>
          <t>АПСМ.435241.026-01||bp</t>
        </is>
      </c>
      <c r="D2467" s="2" t="inlineStr">
        <is>
          <t>Источник бесперебойного питания (ИБП) Связь Инжиниринг Bad Pack ИБП Связь Инжиниринг СИПБ2КА.10-11 2000W/2000VA RT  bp</t>
        </is>
      </c>
      <c r="E2467" s="2">
        <v>1</v>
      </c>
      <c r="F2467" s="2">
        <v>1</v>
      </c>
      <c r="H2467" s="2">
        <v>694</v>
      </c>
      <c r="I2467" s="2" t="inlineStr">
        <is>
          <t>$</t>
        </is>
      </c>
      <c r="J2467" s="2">
        <f>HYPERLINK("https://app.astro.lead-studio.pro/product/5e07de10-4ea7-4f2c-9e60-fad10f541e05")</f>
      </c>
    </row>
    <row r="2468" spans="1:10" customHeight="0">
      <c r="A2468" s="2" t="inlineStr">
        <is>
          <t>Системы бесперебойного электропитания</t>
        </is>
      </c>
      <c r="B2468" s="2" t="inlineStr">
        <is>
          <t>Связь Инжиниринг</t>
        </is>
      </c>
      <c r="C2468" s="2" t="inlineStr">
        <is>
          <t>АПСМ.435241.027-01.01</t>
        </is>
      </c>
      <c r="D2468" s="2" t="inlineStr">
        <is>
          <t>Источник бесперебойного питания (ИБП)  Связь Инжиниринг СИПБ3КА.10-11/СУХ 3000W/3000VA RT </t>
        </is>
      </c>
      <c r="E2468" s="2">
        <v>2</v>
      </c>
      <c r="F2468" s="2">
        <v>2</v>
      </c>
      <c r="H2468" s="2">
        <v>963</v>
      </c>
      <c r="I2468" s="2" t="inlineStr">
        <is>
          <t>$</t>
        </is>
      </c>
      <c r="J2468" s="2">
        <f>HYPERLINK("https://app.astro.lead-studio.pro/product/69a35c18-2fa3-4d3a-b46e-2b3be509bf39")</f>
      </c>
    </row>
    <row r="2469" spans="1:10" customHeight="0">
      <c r="A2469" s="2" t="inlineStr">
        <is>
          <t>Cетевое оборудование</t>
        </is>
      </c>
      <c r="B2469" s="2" t="inlineStr">
        <is>
          <t>HUAWEI</t>
        </is>
      </c>
      <c r="C2469" s="2" t="inlineStr">
        <is>
          <t>02318170</t>
        </is>
      </c>
      <c r="D2469" s="2" t="inlineStr">
        <is>
          <t>Трансивер Huawei OSX010000 оптич. SFP+ SM Tx:1310нм до 10км (02318170)</t>
        </is>
      </c>
      <c r="E2469" s="2">
        <v>16</v>
      </c>
      <c r="F2469" s="2">
        <v>16</v>
      </c>
      <c r="H2469" s="2">
        <v>745</v>
      </c>
      <c r="I2469" s="2" t="inlineStr">
        <is>
          <t>$</t>
        </is>
      </c>
      <c r="J2469" s="2">
        <f>HYPERLINK("https://app.astro.lead-studio.pro/product/15af9f46-8dce-4434-954e-1e140b84cb65")</f>
      </c>
    </row>
    <row r="2470" spans="1:10" customHeight="0">
      <c r="A2470" s="2" t="inlineStr">
        <is>
          <t>Cетевое оборудование</t>
        </is>
      </c>
      <c r="B2470" s="2" t="inlineStr">
        <is>
          <t>HUAWEI</t>
        </is>
      </c>
      <c r="C2470" s="2" t="inlineStr">
        <is>
          <t>02310CNF</t>
        </is>
      </c>
      <c r="D2470" s="2" t="inlineStr">
        <is>
          <t>Трансивер Huawei OSX040N01 оптич. SFP+ SM Tx:1550нм до 40км (02310CNF)</t>
        </is>
      </c>
      <c r="E2470" s="2">
        <v>4</v>
      </c>
      <c r="F2470" s="2">
        <v>4</v>
      </c>
      <c r="H2470" s="2">
        <v>1804</v>
      </c>
      <c r="I2470" s="2" t="inlineStr">
        <is>
          <t>$</t>
        </is>
      </c>
      <c r="J2470" s="2">
        <f>HYPERLINK("https://app.astro.lead-studio.pro/product/b43c71e8-f795-47c3-b948-8bf925baf1e7")</f>
      </c>
    </row>
    <row r="2471" spans="1:10" customHeight="0">
      <c r="A2471" s="2" t="inlineStr">
        <is>
          <t>Серверные опции</t>
        </is>
      </c>
      <c r="B2471" s="2" t="inlineStr">
        <is>
          <t>HPE</t>
        </is>
      </c>
      <c r="C2471" s="2" t="inlineStr">
        <is>
          <t>865438-B21</t>
        </is>
      </c>
      <c r="D2471" s="2" t="inlineStr">
        <is>
          <t>Блок Питания HPE Flex Slot Titanium Hot Plug Low Halogen 800W (865438-B21)</t>
        </is>
      </c>
      <c r="E2471" s="2">
        <v>11</v>
      </c>
      <c r="F2471" s="2">
        <v>11</v>
      </c>
      <c r="H2471" s="2">
        <v>320</v>
      </c>
      <c r="I2471" s="2" t="inlineStr">
        <is>
          <t>$</t>
        </is>
      </c>
      <c r="J2471" s="2">
        <f>HYPERLINK("https://app.astro.lead-studio.pro/product/92dfa023-6382-4c61-998b-2b93f30aaf7e")</f>
      </c>
    </row>
    <row r="2472" spans="1:10" customHeight="0">
      <c r="A2472" s="2" t="inlineStr">
        <is>
          <t>Серверные опции</t>
        </is>
      </c>
      <c r="B2472" s="2" t="inlineStr">
        <is>
          <t>DELL</t>
        </is>
      </c>
      <c r="C2472" s="2" t="inlineStr">
        <is>
          <t>338-BLUW</t>
        </is>
      </c>
      <c r="D2472" s="2" t="inlineStr">
        <is>
          <t>Процессор Dell 338-BLUW Intel Xeon Gold 5118 16.5Mb 2.3Ghz</t>
        </is>
      </c>
      <c r="E2472" s="2">
        <v>1</v>
      </c>
      <c r="F2472" s="2">
        <v>1</v>
      </c>
      <c r="H2472" s="2">
        <v>555</v>
      </c>
      <c r="I2472" s="2" t="inlineStr">
        <is>
          <t>$</t>
        </is>
      </c>
      <c r="J2472" s="2">
        <f>HYPERLINK("https://app.astro.lead-studio.pro/product/c07f6959-e7c9-4bdc-8e6c-b4e8e29579c0")</f>
      </c>
    </row>
    <row r="2473" spans="1:10" customHeight="0">
      <c r="A2473" s="2" t="inlineStr">
        <is>
          <t>Системы хранения данных (СХД)</t>
        </is>
      </c>
      <c r="B2473" s="2" t="inlineStr">
        <is>
          <t>NETAPP</t>
        </is>
      </c>
      <c r="C2473" s="2" t="inlineStr">
        <is>
          <t>AFF-A220A-002</t>
        </is>
      </c>
      <c r="D2473" s="2" t="inlineStr">
        <is>
          <t>Дисковый массив Netapp AFF A200 12x3800Gb SSD (AFF-A220A-002)</t>
        </is>
      </c>
      <c r="E2473" s="2">
        <v>1</v>
      </c>
      <c r="F2473" s="2">
        <v>1</v>
      </c>
      <c r="H2473" s="2">
        <v>47658</v>
      </c>
      <c r="I2473" s="2" t="inlineStr">
        <is>
          <t>$</t>
        </is>
      </c>
      <c r="J2473" s="2">
        <f>HYPERLINK("https://app.astro.lead-studio.pro/product/8c79abc7-616c-4202-a705-b55bd27cfcf4")</f>
      </c>
    </row>
    <row r="2474" spans="1:10" customHeight="0">
      <c r="A2474" s="2" t="inlineStr">
        <is>
          <t>Серверные опции</t>
        </is>
      </c>
      <c r="B2474" s="2" t="inlineStr">
        <is>
          <t>DELL</t>
        </is>
      </c>
      <c r="C2474" s="2" t="inlineStr">
        <is>
          <t>400-ATFL</t>
        </is>
      </c>
      <c r="D2474" s="2" t="inlineStr">
        <is>
          <t>Накопитель SSD Dell 120GB SATA для 14G 400-ATFL (394XT) Hot Swapp 2.5" MLC Read Intensive</t>
        </is>
      </c>
      <c r="E2474" s="2">
        <v>1</v>
      </c>
      <c r="F2474" s="2">
        <v>1</v>
      </c>
      <c r="H2474" s="2">
        <v>431</v>
      </c>
      <c r="I2474" s="2" t="inlineStr">
        <is>
          <t>$</t>
        </is>
      </c>
      <c r="J2474" s="2">
        <f>HYPERLINK("https://app.astro.lead-studio.pro/product/ef793fff-a45e-4123-bf54-7c2afedc3636")</f>
      </c>
    </row>
    <row r="2475" spans="1:10" customHeight="0">
      <c r="A2475" s="2" t="inlineStr">
        <is>
          <t>Телефония</t>
        </is>
      </c>
      <c r="B2475" s="2" t="inlineStr">
        <is>
          <t>UNIFY COMMUNICATIONS</t>
        </is>
      </c>
      <c r="C2475" s="2" t="inlineStr">
        <is>
          <t>L30250-F600-C433</t>
        </is>
      </c>
      <c r="D2475" s="2" t="inlineStr">
        <is>
          <t>Телефон IP Unify OpenScape CP600E черный (L30250-F600-C433)</t>
        </is>
      </c>
      <c r="E2475" s="2">
        <v>5</v>
      </c>
      <c r="F2475" s="2">
        <v>5</v>
      </c>
      <c r="H2475" s="2">
        <v>445</v>
      </c>
      <c r="I2475" s="2" t="inlineStr">
        <is>
          <t>$</t>
        </is>
      </c>
      <c r="J2475" s="2">
        <f>HYPERLINK("https://app.astro.lead-studio.pro/product/85709c81-c6d2-4536-a46e-b0241af50a66")</f>
      </c>
    </row>
    <row r="2476" spans="1:10" customHeight="0">
      <c r="A2476" s="2" t="inlineStr">
        <is>
          <t>Cетевое оборудование</t>
        </is>
      </c>
      <c r="B2476" s="2" t="inlineStr">
        <is>
          <t>HUAWEI</t>
        </is>
      </c>
      <c r="C2476" s="2">
        <v>2115640</v>
      </c>
      <c r="D2476" s="2" t="inlineStr">
        <is>
          <t>Маршрутизатор Huawei AR6300 (2115640) 2xSRU-400H/2xPAC-350WB-L</t>
        </is>
      </c>
      <c r="E2476" s="2">
        <v>2</v>
      </c>
      <c r="F2476" s="2">
        <v>2</v>
      </c>
      <c r="H2476" s="2">
        <v>12036</v>
      </c>
      <c r="I2476" s="2" t="inlineStr">
        <is>
          <t>$</t>
        </is>
      </c>
      <c r="J2476" s="2">
        <f>HYPERLINK("https://app.astro.lead-studio.pro/product/332df6ee-d8b7-404e-9e9f-40511fb78bb5")</f>
      </c>
    </row>
    <row r="2477" spans="1:10" customHeight="0">
      <c r="A2477" s="2" t="inlineStr">
        <is>
          <t>Cетевое оборудование</t>
        </is>
      </c>
      <c r="B2477" s="2" t="inlineStr">
        <is>
          <t>HUAWEI</t>
        </is>
      </c>
      <c r="C2477" s="2">
        <v>98010960</v>
      </c>
      <c r="D2477" s="2" t="inlineStr">
        <is>
          <t>Коммутатор Huawei S5735-S24T4X-I 98010960 (L3) 24x1Гбит/с 4SFP+ управляемый 2xPDC180S12-CR</t>
        </is>
      </c>
      <c r="E2477" s="2">
        <v>7</v>
      </c>
      <c r="F2477" s="2">
        <v>7</v>
      </c>
      <c r="H2477" s="2">
        <v>2525</v>
      </c>
      <c r="I2477" s="2" t="inlineStr">
        <is>
          <t>$</t>
        </is>
      </c>
      <c r="J2477" s="2">
        <f>HYPERLINK("https://app.astro.lead-studio.pro/product/96201feb-2e5e-4c25-b21a-40bb3375a171")</f>
      </c>
    </row>
    <row r="2478" spans="1:10" customHeight="0">
      <c r="A2478" s="2" t="inlineStr">
        <is>
          <t>Cетевое оборудование</t>
        </is>
      </c>
      <c r="B2478" s="2" t="inlineStr">
        <is>
          <t>HUAWEI</t>
        </is>
      </c>
      <c r="C2478" s="2">
        <v>98011295</v>
      </c>
      <c r="D2478" s="2" t="inlineStr">
        <is>
          <t>Коммутатор Huawei S5735-L8P4S-A1 98011295 (L2+) 8x1Гбит/с 4SFP 4PoE++ 124W управляемый</t>
        </is>
      </c>
      <c r="E2478" s="2">
        <v>3</v>
      </c>
      <c r="F2478" s="2">
        <v>1</v>
      </c>
      <c r="H2478" s="2">
        <v>633</v>
      </c>
      <c r="I2478" s="2" t="inlineStr">
        <is>
          <t>$</t>
        </is>
      </c>
      <c r="J2478" s="2">
        <f>HYPERLINK("https://app.astro.lead-studio.pro/product/f3be99a7-a224-4db4-b9ad-da9f7819cc5e")</f>
      </c>
    </row>
    <row r="2479" spans="1:10" customHeight="0">
      <c r="A2479" s="2" t="inlineStr">
        <is>
          <t>Серверные опции</t>
        </is>
      </c>
      <c r="B2479" s="2" t="inlineStr">
        <is>
          <t>INTEL</t>
        </is>
      </c>
      <c r="C2479" s="2" t="inlineStr">
        <is>
          <t>CD8068904572401</t>
        </is>
      </c>
      <c r="D2479" s="2" t="inlineStr">
        <is>
          <t>Процессор Intel Xeon Platinum 8352Y 48Mb 2.2Ghz (CD8068904572401)</t>
        </is>
      </c>
      <c r="E2479" s="2">
        <v>1</v>
      </c>
      <c r="F2479" s="2">
        <v>1</v>
      </c>
      <c r="H2479" s="2">
        <v>2938</v>
      </c>
      <c r="I2479" s="2" t="inlineStr">
        <is>
          <t>$</t>
        </is>
      </c>
      <c r="J2479" s="2">
        <f>HYPERLINK("https://app.astro.lead-studio.pro/product/490143c5-e37b-49d2-9eed-0aaa44d14bdf")</f>
      </c>
    </row>
    <row r="2480" spans="1:10" customHeight="0">
      <c r="A2480" s="2" t="inlineStr">
        <is>
          <t>Платформы NUC</t>
        </is>
      </c>
      <c r="B2480" s="2" t="inlineStr">
        <is>
          <t>INTEL</t>
        </is>
      </c>
      <c r="C2480" s="2" t="inlineStr">
        <is>
          <t>BNUC11TNKI30000</t>
        </is>
      </c>
      <c r="D2480" s="2" t="inlineStr">
        <is>
          <t>Платформа Intel NUC Original BNUC11TNKi30000 4.1GHz 2xDDR4</t>
        </is>
      </c>
      <c r="E2480" s="2">
        <v>168</v>
      </c>
      <c r="F2480" s="2">
        <v>168</v>
      </c>
      <c r="H2480" s="2">
        <v>487</v>
      </c>
      <c r="I2480" s="2" t="inlineStr">
        <is>
          <t>$</t>
        </is>
      </c>
      <c r="J2480" s="2">
        <f>HYPERLINK("https://app.astro.lead-studio.pro/product/f69a68e4-dc87-4c59-8b6b-fefcc4fe7172")</f>
      </c>
    </row>
    <row r="2481" spans="1:10" customHeight="0">
      <c r="A2481" s="2" t="inlineStr">
        <is>
          <t>Серверные опции</t>
        </is>
      </c>
      <c r="B2481" s="2" t="inlineStr">
        <is>
          <t>HUAWEI</t>
        </is>
      </c>
      <c r="C2481" s="2" t="inlineStr">
        <is>
          <t>06200317</t>
        </is>
      </c>
      <c r="D2481" s="2" t="inlineStr">
        <is>
          <t>Память DDR4 Huawei 06200317 32Gb RDIMM ECC Reg PC4-23400 2933MHz</t>
        </is>
      </c>
      <c r="E2481" s="2">
        <v>22</v>
      </c>
      <c r="F2481" s="2">
        <v>22</v>
      </c>
      <c r="H2481" s="2">
        <v>344</v>
      </c>
      <c r="I2481" s="2" t="inlineStr">
        <is>
          <t>$</t>
        </is>
      </c>
      <c r="J2481" s="2">
        <f>HYPERLINK("https://app.astro.lead-studio.pro/product/fceca42d-9305-4c88-8da6-0e1f494542c4")</f>
      </c>
    </row>
    <row r="2482" spans="1:10" customHeight="0">
      <c r="A2482" s="2" t="inlineStr">
        <is>
          <t>Cетевое оборудование</t>
        </is>
      </c>
      <c r="B2482" s="2" t="inlineStr">
        <is>
          <t>HUAWEI</t>
        </is>
      </c>
      <c r="C2482" s="2">
        <v>98010960</v>
      </c>
      <c r="D2482" s="2" t="inlineStr">
        <is>
          <t>Коммутатор Huawei S5735-S24T4X-I 98010960 (L3) 24x1Гбит/с 4SFP+ управляемый</t>
        </is>
      </c>
      <c r="E2482" s="2">
        <v>5</v>
      </c>
      <c r="F2482" s="2">
        <v>5</v>
      </c>
      <c r="H2482" s="2">
        <v>2740</v>
      </c>
      <c r="I2482" s="2" t="inlineStr">
        <is>
          <t>$</t>
        </is>
      </c>
      <c r="J2482" s="2">
        <f>HYPERLINK("https://app.astro.lead-studio.pro/product/96201feb-2e5e-4c25-b21a-40bb3375a171")</f>
      </c>
    </row>
    <row r="2483" spans="1:10" customHeight="0">
      <c r="A2483" s="2" t="inlineStr">
        <is>
          <t>Cетевое оборудование</t>
        </is>
      </c>
      <c r="B2483" s="2" t="inlineStr">
        <is>
          <t>HUAWEI</t>
        </is>
      </c>
      <c r="C2483" s="2">
        <v>98011306</v>
      </c>
      <c r="D2483" s="2" t="inlineStr">
        <is>
          <t>Коммутатор Huawei S5735-L24T4S-A1 98011306 (L2+) 24x1Гбит/с 4SFP управляемый</t>
        </is>
      </c>
      <c r="E2483" s="2">
        <v>1</v>
      </c>
      <c r="F2483" s="2">
        <v>1</v>
      </c>
      <c r="H2483" s="2">
        <v>823</v>
      </c>
      <c r="I2483" s="2" t="inlineStr">
        <is>
          <t>$</t>
        </is>
      </c>
      <c r="J2483" s="2">
        <f>HYPERLINK("https://app.astro.lead-studio.pro/product/103d283a-8c71-472a-868d-1a0008fa35f2")</f>
      </c>
    </row>
    <row r="2484" spans="1:10" customHeight="0">
      <c r="A2484" s="2" t="inlineStr">
        <is>
          <t>Cетевое оборудование</t>
        </is>
      </c>
      <c r="B2484" s="2" t="inlineStr">
        <is>
          <t>MELLANOX</t>
        </is>
      </c>
      <c r="C2484" s="2" t="inlineStr">
        <is>
          <t>MBF2H332A-AECOT</t>
        </is>
      </c>
      <c r="D2484" s="2" t="inlineStr">
        <is>
          <t>Сетевой адаптер Ethernet Mellanox MBF2H332A-AECOT PCI Express x8</t>
        </is>
      </c>
      <c r="E2484" s="2">
        <v>6</v>
      </c>
      <c r="F2484" s="2">
        <v>6</v>
      </c>
      <c r="H2484" s="2">
        <v>432</v>
      </c>
      <c r="I2484" s="2" t="inlineStr">
        <is>
          <t>$</t>
        </is>
      </c>
      <c r="J2484" s="2">
        <f>HYPERLINK("https://app.astro.lead-studio.pro/product/5300563f-27da-417d-894d-1147ede28f8e")</f>
      </c>
    </row>
    <row r="2485" spans="1:10" customHeight="0">
      <c r="A2485" s="2" t="inlineStr">
        <is>
          <t>Cетевое оборудование</t>
        </is>
      </c>
      <c r="B2485" s="2" t="inlineStr">
        <is>
          <t>MELLANOX</t>
        </is>
      </c>
      <c r="C2485" s="2" t="inlineStr">
        <is>
          <t>FTLC9152RGPL</t>
        </is>
      </c>
      <c r="D2485" s="2" t="inlineStr">
        <is>
          <t>Трансивер Mellanox FTLC9152RGPL QSFP28 CWDM MM 100Гбит/с до 0.1км</t>
        </is>
      </c>
      <c r="E2485" s="2">
        <v>6</v>
      </c>
      <c r="F2485" s="2">
        <v>6</v>
      </c>
      <c r="H2485" s="2">
        <v>321</v>
      </c>
      <c r="I2485" s="2" t="inlineStr">
        <is>
          <t>$</t>
        </is>
      </c>
      <c r="J2485" s="2">
        <f>HYPERLINK("https://app.astro.lead-studio.pro/product/284cc506-ab42-4c97-9a25-2368c719d472")</f>
      </c>
    </row>
    <row r="2486" spans="1:10" customHeight="0">
      <c r="A2486" s="2" t="inlineStr">
        <is>
          <t>Телефония</t>
        </is>
      </c>
      <c r="B2486" s="2" t="inlineStr">
        <is>
          <t>UNIFY COMMUNICATIONS</t>
        </is>
      </c>
      <c r="C2486" s="2" t="inlineStr">
        <is>
          <t>L30250-F600-C439</t>
        </is>
      </c>
      <c r="D2486" s="2" t="inlineStr">
        <is>
          <t>Телефон SIP Unify OpenScape Desk Phone CP700X черный (L30250-F600-C439)</t>
        </is>
      </c>
      <c r="E2486" s="2">
        <v>5</v>
      </c>
      <c r="F2486" s="2">
        <v>5</v>
      </c>
      <c r="H2486" s="2">
        <v>565</v>
      </c>
      <c r="I2486" s="2" t="inlineStr">
        <is>
          <t>$</t>
        </is>
      </c>
      <c r="J2486" s="2">
        <f>HYPERLINK("https://app.astro.lead-studio.pro/product/44f356cb-0b62-42ec-94ae-1c63adadfb8e")</f>
      </c>
    </row>
    <row r="2487" spans="1:10" customHeight="0">
      <c r="A2487" s="2" t="inlineStr">
        <is>
          <t>Телефония</t>
        </is>
      </c>
      <c r="B2487" s="2" t="inlineStr">
        <is>
          <t>UNIFY COMMUNICATIONS</t>
        </is>
      </c>
      <c r="C2487" s="2" t="inlineStr">
        <is>
          <t>L30250-F600-C328</t>
        </is>
      </c>
      <c r="D2487" s="2" t="inlineStr">
        <is>
          <t>Трубка Unify OpenScape WLAN Phone WL4 Plus Handset черный (L30250-F600-C328)</t>
        </is>
      </c>
      <c r="E2487" s="2">
        <v>2</v>
      </c>
      <c r="F2487" s="2">
        <v>2</v>
      </c>
      <c r="H2487" s="2">
        <v>1269</v>
      </c>
      <c r="I2487" s="2" t="inlineStr">
        <is>
          <t>$</t>
        </is>
      </c>
      <c r="J2487" s="2">
        <f>HYPERLINK("https://app.astro.lead-studio.pro/product/547b084f-8090-4feb-80cd-4226b35ec1f1")</f>
      </c>
    </row>
    <row r="2488" spans="1:10" customHeight="0">
      <c r="A2488" s="2" t="inlineStr">
        <is>
          <t>Серверные опции</t>
        </is>
      </c>
      <c r="B2488" s="2" t="inlineStr">
        <is>
          <t>FUJITSU</t>
        </is>
      </c>
      <c r="C2488" s="2" t="inlineStr">
        <is>
          <t>S26361-F5870-L768</t>
        </is>
      </c>
      <c r="D2488" s="2" t="inlineStr">
        <is>
          <t>Накопитель SSD Fujitsu 7.5TB SAS для RX2530 M4/RX2530 M5/RX2540 M4/RX2540 M5/RX4770 M3/RX4770 M4 S26361-F5870-L768 Hot Swapp 2.5"</t>
        </is>
      </c>
      <c r="E2488" s="2">
        <v>2</v>
      </c>
      <c r="F2488" s="2">
        <v>2</v>
      </c>
      <c r="H2488" s="2">
        <v>1572</v>
      </c>
      <c r="I2488" s="2" t="inlineStr">
        <is>
          <t>$</t>
        </is>
      </c>
      <c r="J2488" s="2">
        <f>HYPERLINK("https://app.astro.lead-studio.pro/product/0fa15ebf-53a0-4a54-8f58-c0f4857afd51")</f>
      </c>
    </row>
    <row r="2489" spans="1:10" customHeight="0">
      <c r="A2489" s="2" t="inlineStr">
        <is>
          <t>Платформы NUC</t>
        </is>
      </c>
      <c r="B2489" s="2" t="inlineStr">
        <is>
          <t>INTEL</t>
        </is>
      </c>
      <c r="C2489" s="2" t="inlineStr">
        <is>
          <t>RNUC12WSKI70002 99AP2F</t>
        </is>
      </c>
      <c r="D2489" s="2" t="inlineStr">
        <is>
          <t>Платформа Intel NUC Original RNUC12WSKI70002 4.7GHz 2xDDR4</t>
        </is>
      </c>
      <c r="E2489" s="2">
        <v>99</v>
      </c>
      <c r="F2489" s="2">
        <v>99</v>
      </c>
      <c r="H2489" s="2">
        <v>873</v>
      </c>
      <c r="I2489" s="2" t="inlineStr">
        <is>
          <t>$</t>
        </is>
      </c>
      <c r="J2489" s="2">
        <f>HYPERLINK("https://app.astro.lead-studio.pro/product/a63aa6ca-06b2-4e4c-a808-d6e5093847df")</f>
      </c>
    </row>
    <row r="2490" spans="1:10" customHeight="0">
      <c r="A2490" s="2" t="inlineStr">
        <is>
          <t>Cетевое оборудование</t>
        </is>
      </c>
      <c r="B2490" s="2" t="inlineStr">
        <is>
          <t>HUAWEI</t>
        </is>
      </c>
      <c r="C2490" s="2" t="inlineStr">
        <is>
          <t>02353SJT-001</t>
        </is>
      </c>
      <c r="D2490" s="2" t="inlineStr">
        <is>
          <t>Коммутатор Huawei S5732-H48UM2CC 02353SJT-001 (L3) 4xSFP28 2xQSFP28 управляемый PAC1000S56-DB/QSFP-40G-CU1M</t>
        </is>
      </c>
      <c r="E2490" s="2">
        <v>6</v>
      </c>
      <c r="F2490" s="2">
        <v>6</v>
      </c>
      <c r="H2490" s="2">
        <v>4540</v>
      </c>
      <c r="I2490" s="2" t="inlineStr">
        <is>
          <t>$</t>
        </is>
      </c>
      <c r="J2490" s="2">
        <f>HYPERLINK("https://app.astro.lead-studio.pro/product/05439a2d-41fd-4d17-a051-909211f1ac17")</f>
      </c>
    </row>
    <row r="2491" spans="1:10" customHeight="0">
      <c r="A2491" s="2" t="inlineStr">
        <is>
          <t>Серверные опции</t>
        </is>
      </c>
      <c r="B2491" s="2" t="inlineStr">
        <is>
          <t>LENOVO</t>
        </is>
      </c>
      <c r="C2491" s="2" t="inlineStr">
        <is>
          <t>7Y37A01083</t>
        </is>
      </c>
      <c r="D2491" s="2" t="inlineStr">
        <is>
          <t>Адаптер Lenovo 7Y37A01083 ThinkSystem RAID 730-8i 1GB Cache PCIe 12Gb</t>
        </is>
      </c>
      <c r="E2491" s="2">
        <v>2</v>
      </c>
      <c r="F2491" s="2">
        <v>2</v>
      </c>
      <c r="H2491" s="2">
        <v>711</v>
      </c>
      <c r="I2491" s="2" t="inlineStr">
        <is>
          <t>$</t>
        </is>
      </c>
      <c r="J2491" s="2">
        <f>HYPERLINK("https://app.astro.lead-studio.pro/product/3d5f3438-ce69-488d-9dd4-9cfb3f21d114")</f>
      </c>
    </row>
    <row r="2492" spans="1:10" customHeight="0">
      <c r="A2492" s="2" t="inlineStr">
        <is>
          <t>Серверные опции</t>
        </is>
      </c>
      <c r="B2492" s="2" t="inlineStr">
        <is>
          <t>FUJITSU</t>
        </is>
      </c>
      <c r="C2492" s="2" t="inlineStr">
        <is>
          <t>ETANB6F-L</t>
        </is>
      </c>
      <c r="D2492" s="2" t="inlineStr">
        <is>
          <t>Жесткий диск Fujitsu 6TB SAS 7.2K для DX100 S5/DX200 S5/DX1/200S5 ETANB6F-L Hot Swapp 3.5"</t>
        </is>
      </c>
      <c r="E2492" s="2">
        <v>4</v>
      </c>
      <c r="F2492" s="2">
        <v>4</v>
      </c>
      <c r="H2492" s="2">
        <v>353</v>
      </c>
      <c r="I2492" s="2" t="inlineStr">
        <is>
          <t>$</t>
        </is>
      </c>
      <c r="J2492" s="2">
        <f>HYPERLINK("https://app.astro.lead-studio.pro/product/7a2d6892-26c1-4fd0-88cb-42e6fde239aa")</f>
      </c>
    </row>
    <row r="2493" spans="1:10" customHeight="0">
      <c r="A2493" s="2" t="inlineStr">
        <is>
          <t>Cетевое оборудование</t>
        </is>
      </c>
      <c r="B2493" s="2" t="inlineStr">
        <is>
          <t>HUAWEI</t>
        </is>
      </c>
      <c r="C2493" s="2" t="inlineStr">
        <is>
          <t>02312NTA-001</t>
        </is>
      </c>
      <c r="D2493" s="2" t="inlineStr">
        <is>
          <t>Коммутатор Huawei S5735-S8P2X-IA200G1 02312NTA-001 (L3) 8x1Гбит/с 2SFP+ 160W управляемый PC500MBASICS08/2xOGSC10DD0/FB7X0SCT1200/MBreake20/MBreake16/PCBCK10MM14/TD2ESPEEBC00</t>
        </is>
      </c>
      <c r="E2493" s="2">
        <v>4</v>
      </c>
      <c r="F2493" s="2">
        <v>4</v>
      </c>
      <c r="H2493" s="2">
        <v>2629</v>
      </c>
      <c r="I2493" s="2" t="inlineStr">
        <is>
          <t>$</t>
        </is>
      </c>
      <c r="J2493" s="2">
        <f>HYPERLINK("https://app.astro.lead-studio.pro/product/18c8b000-a455-42c8-8d09-8879db1d5f5b")</f>
      </c>
    </row>
    <row r="2494" spans="1:10" customHeight="0">
      <c r="A2494" s="2" t="inlineStr">
        <is>
          <t>Cетевое оборудование</t>
        </is>
      </c>
      <c r="B2494" s="2" t="inlineStr">
        <is>
          <t>HUAWEI</t>
        </is>
      </c>
      <c r="C2494" s="2">
        <v>98011581</v>
      </c>
      <c r="D2494" s="2" t="inlineStr">
        <is>
          <t>Коммутатор Huawei S5735-L8T4X-IA1 98011581 (L3) 8x1Гбит/с 4SFP+ управляемый</t>
        </is>
      </c>
      <c r="E2494" s="2">
        <v>4</v>
      </c>
      <c r="F2494" s="2">
        <v>4</v>
      </c>
      <c r="H2494" s="2">
        <v>789</v>
      </c>
      <c r="I2494" s="2" t="inlineStr">
        <is>
          <t>$</t>
        </is>
      </c>
      <c r="J2494" s="2">
        <f>HYPERLINK("https://app.astro.lead-studio.pro/product/b641e5f0-e860-446b-b85f-bcb5cae594bc")</f>
      </c>
    </row>
    <row r="2495" spans="1:10" customHeight="0">
      <c r="A2495" s="2" t="inlineStr">
        <is>
          <t>Cетевое оборудование</t>
        </is>
      </c>
      <c r="B2495" s="2" t="inlineStr">
        <is>
          <t>HUAWEI</t>
        </is>
      </c>
      <c r="C2495" s="2">
        <v>98011597</v>
      </c>
      <c r="D2495" s="2" t="inlineStr">
        <is>
          <t>Коммутатор Huawei S5735-L24T4X-IA1 98011597 (L3) 24x1Гбит/с 4SFP+ управляемый</t>
        </is>
      </c>
      <c r="E2495" s="2">
        <v>1</v>
      </c>
      <c r="F2495" s="2">
        <v>1</v>
      </c>
      <c r="H2495" s="2">
        <v>1168</v>
      </c>
      <c r="I2495" s="2" t="inlineStr">
        <is>
          <t>$</t>
        </is>
      </c>
      <c r="J2495" s="2">
        <f>HYPERLINK("https://app.astro.lead-studio.pro/product/dee8c647-6491-44a3-9786-bf3aa9d47713")</f>
      </c>
    </row>
    <row r="2496" spans="1:10" customHeight="0">
      <c r="A2496" s="2" t="inlineStr">
        <is>
          <t>Серверные опции</t>
        </is>
      </c>
      <c r="B2496" s="2" t="inlineStr">
        <is>
          <t>INTEL</t>
        </is>
      </c>
      <c r="C2496" s="2" t="inlineStr">
        <is>
          <t>CM8068404174503S RF7F</t>
        </is>
      </c>
      <c r="D2496" s="2" t="inlineStr">
        <is>
          <t>Процессор Intel Xeon E-2226G 12Mb 3.4Ghz (CM8068404174503S RF7F)</t>
        </is>
      </c>
      <c r="E2496" s="2">
        <v>2</v>
      </c>
      <c r="F2496" s="2">
        <v>2</v>
      </c>
      <c r="H2496" s="2">
        <v>404</v>
      </c>
      <c r="I2496" s="2" t="inlineStr">
        <is>
          <t>$</t>
        </is>
      </c>
      <c r="J2496" s="2">
        <f>HYPERLINK("https://app.astro.lead-studio.pro/product/e8454dec-2c56-4d74-9274-46e85c48353f")</f>
      </c>
    </row>
    <row r="2497" spans="1:10" customHeight="0">
      <c r="A2497" s="2" t="inlineStr">
        <is>
          <t>Серверные опции</t>
        </is>
      </c>
      <c r="B2497" s="2" t="inlineStr">
        <is>
          <t>FUJITSU</t>
        </is>
      </c>
      <c r="C2497" s="2" t="inlineStr">
        <is>
          <t>ETANFGF-L</t>
        </is>
      </c>
      <c r="D2497" s="2" t="inlineStr">
        <is>
          <t>Жесткий диск Fujitsu 16TB SAS 7.2K для DX100 S4/DX200 S4/DX100/200 S4 DE/DX100 S5/DX200 S5 ETANFGF-L Hot Swapp 3.5"</t>
        </is>
      </c>
      <c r="E2497" s="2">
        <v>12</v>
      </c>
      <c r="F2497" s="2">
        <v>12</v>
      </c>
      <c r="H2497" s="2">
        <v>551</v>
      </c>
      <c r="I2497" s="2" t="inlineStr">
        <is>
          <t>$</t>
        </is>
      </c>
      <c r="J2497" s="2">
        <f>HYPERLINK("https://app.astro.lead-studio.pro/product/e64bda15-433f-4344-8fdc-7d89099f6d59")</f>
      </c>
    </row>
    <row r="2498" spans="1:10" customHeight="0">
      <c r="A2498" s="2" t="inlineStr">
        <is>
          <t>Cетевое оборудование</t>
        </is>
      </c>
      <c r="B2498" s="2" t="inlineStr">
        <is>
          <t>HUAWEI</t>
        </is>
      </c>
      <c r="C2498" s="2">
        <v>98011306</v>
      </c>
      <c r="D2498" s="2" t="inlineStr">
        <is>
          <t>Коммутатор Huawei S5735-L24T4S-A1 98011306 (L2+) 24x1Гбит/с 4SFP управляемый</t>
        </is>
      </c>
      <c r="E2498" s="2">
        <v>36</v>
      </c>
      <c r="F2498" s="2">
        <v>33</v>
      </c>
      <c r="H2498" s="2">
        <v>810</v>
      </c>
      <c r="I2498" s="2" t="inlineStr">
        <is>
          <t>$</t>
        </is>
      </c>
      <c r="J2498" s="2">
        <f>HYPERLINK("https://app.astro.lead-studio.pro/product/103d283a-8c71-472a-868d-1a0008fa35f2")</f>
      </c>
    </row>
    <row r="2499" spans="1:10" customHeight="0">
      <c r="A2499" s="2" t="inlineStr">
        <is>
          <t>Cетевое оборудование</t>
        </is>
      </c>
      <c r="B2499" s="2" t="inlineStr">
        <is>
          <t>HUAWEI</t>
        </is>
      </c>
      <c r="C2499" s="2">
        <v>50010483</v>
      </c>
      <c r="D2499" s="2" t="inlineStr">
        <is>
          <t>Маршрутизатор Huawei AR651 (50010483) 10/100/1000BASE-TX/SFP черный</t>
        </is>
      </c>
      <c r="E2499" s="2">
        <v>79</v>
      </c>
      <c r="F2499" s="2">
        <v>78</v>
      </c>
      <c r="H2499" s="2">
        <v>583</v>
      </c>
      <c r="I2499" s="2" t="inlineStr">
        <is>
          <t>$</t>
        </is>
      </c>
      <c r="J2499" s="2">
        <f>HYPERLINK("https://app.astro.lead-studio.pro/product/e0f60aa6-d1d2-4a9e-947e-f590a7c7aa6f")</f>
      </c>
    </row>
    <row r="2500" spans="1:10" customHeight="0">
      <c r="A2500" s="2" t="inlineStr">
        <is>
          <t>Серверы</t>
        </is>
      </c>
      <c r="B2500" s="2" t="inlineStr">
        <is>
          <t>XFUSION</t>
        </is>
      </c>
      <c r="C2500" s="2" t="inlineStr">
        <is>
          <t>02311VKU</t>
        </is>
      </c>
      <c r="D2500" s="2" t="inlineStr">
        <is>
          <t>Сервер xFusion 1288H V5 2x4208 2x32Gb x8 6x480Gb 2.5" SSD SATA 9460-8i 1G 2P+10G 2P 2x550W (02311VKU)</t>
        </is>
      </c>
      <c r="E2500" s="2">
        <v>22</v>
      </c>
      <c r="F2500" s="2">
        <v>2</v>
      </c>
      <c r="H2500" s="2">
        <v>8373</v>
      </c>
      <c r="I2500" s="2" t="inlineStr">
        <is>
          <t>$</t>
        </is>
      </c>
      <c r="J2500" s="2">
        <f>HYPERLINK("https://app.astro.lead-studio.pro/product/6f8cf904-7055-4f4b-a9a6-ed63252ae8ae")</f>
      </c>
    </row>
    <row r="2501" spans="1:10" customHeight="0">
      <c r="A2501" s="2" t="inlineStr">
        <is>
          <t>Серверные опции</t>
        </is>
      </c>
      <c r="B2501" s="2" t="inlineStr">
        <is>
          <t>INTEL</t>
        </is>
      </c>
      <c r="C2501" s="2" t="inlineStr">
        <is>
          <t>CD8068904572204</t>
        </is>
      </c>
      <c r="D2501" s="2" t="inlineStr">
        <is>
          <t>Процессор Intel Xeon Gold 6348 42Mb 2.6Ghz (CD8068904572204)</t>
        </is>
      </c>
      <c r="E2501" s="2">
        <v>11</v>
      </c>
      <c r="F2501" s="2">
        <v>11</v>
      </c>
      <c r="H2501" s="2">
        <v>2523</v>
      </c>
      <c r="I2501" s="2" t="inlineStr">
        <is>
          <t>$</t>
        </is>
      </c>
      <c r="J2501" s="2">
        <f>HYPERLINK("https://app.astro.lead-studio.pro/product/8fd6624b-e4e8-419b-b2b7-8b4805dd399f")</f>
      </c>
    </row>
    <row r="2502" spans="1:10" customHeight="0">
      <c r="A2502" s="2" t="inlineStr">
        <is>
          <t>Серверные опции</t>
        </is>
      </c>
      <c r="B2502" s="2" t="inlineStr">
        <is>
          <t>INTEL</t>
        </is>
      </c>
      <c r="C2502" s="2" t="inlineStr">
        <is>
          <t>CM8070804495612S RKN4</t>
        </is>
      </c>
      <c r="D2502" s="2" t="inlineStr">
        <is>
          <t>Процессор Intel Xeon E-2378 16Mb 2.6Ghz (CM8070804495612S RKN4)</t>
        </is>
      </c>
      <c r="E2502" s="2">
        <v>12</v>
      </c>
      <c r="F2502" s="2">
        <v>12</v>
      </c>
      <c r="H2502" s="2">
        <v>705</v>
      </c>
      <c r="I2502" s="2" t="inlineStr">
        <is>
          <t>$</t>
        </is>
      </c>
      <c r="J2502" s="2">
        <f>HYPERLINK("https://app.astro.lead-studio.pro/product/4e2d3d7b-65c5-4507-be81-a6cc0393306b")</f>
      </c>
    </row>
    <row r="2503" spans="1:10" customHeight="0">
      <c r="A2503" s="2" t="inlineStr">
        <is>
          <t>Серверные опции</t>
        </is>
      </c>
      <c r="B2503" s="2" t="inlineStr">
        <is>
          <t>INTEL</t>
        </is>
      </c>
      <c r="C2503" s="2" t="inlineStr">
        <is>
          <t>CD8068904657502</t>
        </is>
      </c>
      <c r="D2503" s="2" t="inlineStr">
        <is>
          <t>Процессор Intel Xeon Gold 6326 24Mb 2.9Ghz (CD8068904657502)</t>
        </is>
      </c>
      <c r="E2503" s="2">
        <v>21</v>
      </c>
      <c r="F2503" s="2">
        <v>19</v>
      </c>
      <c r="H2503" s="2">
        <v>1611</v>
      </c>
      <c r="I2503" s="2" t="inlineStr">
        <is>
          <t>$</t>
        </is>
      </c>
      <c r="J2503" s="2">
        <f>HYPERLINK("https://app.astro.lead-studio.pro/product/084e0983-3f50-4e0f-ad95-c3c7f16b4ad3")</f>
      </c>
    </row>
    <row r="2504" spans="1:10" customHeight="0">
      <c r="A2504" s="2" t="inlineStr">
        <is>
          <t>Серверные опции</t>
        </is>
      </c>
      <c r="B2504" s="2" t="inlineStr">
        <is>
          <t>INTEL</t>
        </is>
      </c>
      <c r="C2504" s="2" t="inlineStr">
        <is>
          <t>CD8068904659201</t>
        </is>
      </c>
      <c r="D2504" s="2" t="inlineStr">
        <is>
          <t>Процессор Intel Xeon Gold 5320 39Mb 2.2Ghz (CD8068904659201)</t>
        </is>
      </c>
      <c r="E2504" s="2">
        <v>2</v>
      </c>
      <c r="F2504" s="2">
        <v>2</v>
      </c>
      <c r="H2504" s="2">
        <v>1588</v>
      </c>
      <c r="I2504" s="2" t="inlineStr">
        <is>
          <t>$</t>
        </is>
      </c>
      <c r="J2504" s="2">
        <f>HYPERLINK("https://app.astro.lead-studio.pro/product/2036a493-c0c6-401a-b9ab-19fca2933488")</f>
      </c>
    </row>
    <row r="2505" spans="1:10" customHeight="0">
      <c r="A2505" s="2" t="inlineStr">
        <is>
          <t>Серверные опции</t>
        </is>
      </c>
      <c r="B2505" s="2" t="inlineStr">
        <is>
          <t>INTEL</t>
        </is>
      </c>
      <c r="C2505" s="2" t="inlineStr">
        <is>
          <t>CD8068904571601</t>
        </is>
      </c>
      <c r="D2505" s="2" t="inlineStr">
        <is>
          <t>Процессор Intel Xeon Gold 6354 39Mb 3.0Ghz (CD8068904571601)</t>
        </is>
      </c>
      <c r="E2505" s="2">
        <v>14</v>
      </c>
      <c r="F2505" s="2">
        <v>14</v>
      </c>
      <c r="H2505" s="2">
        <v>2580</v>
      </c>
      <c r="I2505" s="2" t="inlineStr">
        <is>
          <t>$</t>
        </is>
      </c>
      <c r="J2505" s="2">
        <f>HYPERLINK("https://app.astro.lead-studio.pro/product/e16bf6cb-4418-42c0-aa1d-9f6cf8b756bb")</f>
      </c>
    </row>
    <row r="2506" spans="1:10" customHeight="0">
      <c r="A2506" s="2" t="inlineStr">
        <is>
          <t>Серверные опции</t>
        </is>
      </c>
      <c r="B2506" s="2" t="inlineStr">
        <is>
          <t>INTEL</t>
        </is>
      </c>
      <c r="C2506" s="2" t="inlineStr">
        <is>
          <t>CD8068904657302</t>
        </is>
      </c>
      <c r="D2506" s="2" t="inlineStr">
        <is>
          <t>Процессор Intel Xeon Gold 5317 18Mb 3.0Ghz (CD8068904657302)</t>
        </is>
      </c>
      <c r="E2506" s="2">
        <v>21</v>
      </c>
      <c r="F2506" s="2">
        <v>18</v>
      </c>
      <c r="H2506" s="2">
        <v>1429</v>
      </c>
      <c r="I2506" s="2" t="inlineStr">
        <is>
          <t>$</t>
        </is>
      </c>
      <c r="J2506" s="2">
        <f>HYPERLINK("https://app.astro.lead-studio.pro/product/6c6a1de0-8245-4e5c-ad93-212778d6dffc")</f>
      </c>
    </row>
    <row r="2507" spans="1:10" customHeight="0">
      <c r="A2507" s="2" t="inlineStr">
        <is>
          <t>Серверные опции</t>
        </is>
      </c>
      <c r="B2507" s="2" t="inlineStr">
        <is>
          <t>INTEL</t>
        </is>
      </c>
      <c r="C2507" s="2" t="inlineStr">
        <is>
          <t>CD8068904656601</t>
        </is>
      </c>
      <c r="D2507" s="2" t="inlineStr">
        <is>
          <t>Процессор Intel Xeon Silver 4316 30Mb 2.3Ghz (CD8068904656601)</t>
        </is>
      </c>
      <c r="E2507" s="2">
        <v>19</v>
      </c>
      <c r="F2507" s="2">
        <v>19</v>
      </c>
      <c r="H2507" s="2">
        <v>1169</v>
      </c>
      <c r="I2507" s="2" t="inlineStr">
        <is>
          <t>$</t>
        </is>
      </c>
      <c r="J2507" s="2">
        <f>HYPERLINK("https://app.astro.lead-studio.pro/product/e574916d-5e11-41f4-826f-d173c2a18f3c")</f>
      </c>
    </row>
    <row r="2508" spans="1:10" customHeight="0">
      <c r="A2508" s="2" t="inlineStr">
        <is>
          <t>Серверные опции</t>
        </is>
      </c>
      <c r="B2508" s="2" t="inlineStr">
        <is>
          <t>INTEL</t>
        </is>
      </c>
      <c r="C2508" s="2" t="inlineStr">
        <is>
          <t>CM8066002030908</t>
        </is>
      </c>
      <c r="D2508" s="2" t="inlineStr">
        <is>
          <t>Процессор Intel Xeon E5-2690 v4 35Mb 2.6Ghz (CM8066002030908)</t>
        </is>
      </c>
      <c r="E2508" s="2">
        <v>20</v>
      </c>
      <c r="F2508" s="2">
        <v>20</v>
      </c>
      <c r="H2508" s="2">
        <v>573</v>
      </c>
      <c r="I2508" s="2" t="inlineStr">
        <is>
          <t>$</t>
        </is>
      </c>
      <c r="J2508" s="2">
        <f>HYPERLINK("https://app.astro.lead-studio.pro/product/399aa4d2-e174-400b-a311-5056f2c0d1eb")</f>
      </c>
    </row>
    <row r="2509" spans="1:10" customHeight="0">
      <c r="A2509" s="2" t="inlineStr">
        <is>
          <t>Серверные опции</t>
        </is>
      </c>
      <c r="B2509" s="2" t="inlineStr">
        <is>
          <t>INTEL</t>
        </is>
      </c>
      <c r="C2509" s="2" t="inlineStr">
        <is>
          <t>CM8068404174603</t>
        </is>
      </c>
      <c r="D2509" s="2" t="inlineStr">
        <is>
          <t>Процессор Intel Xeon E-2236 12Mb 3.4Ghz (CM8068404174603)</t>
        </is>
      </c>
      <c r="E2509" s="2">
        <v>10</v>
      </c>
      <c r="F2509" s="2">
        <v>10</v>
      </c>
      <c r="H2509" s="2">
        <v>457</v>
      </c>
      <c r="I2509" s="2" t="inlineStr">
        <is>
          <t>$</t>
        </is>
      </c>
      <c r="J2509" s="2">
        <f>HYPERLINK("https://app.astro.lead-studio.pro/product/0ca65d7e-c673-48ab-be70-ed356a782e9c")</f>
      </c>
    </row>
    <row r="2510" spans="1:10" customHeight="0">
      <c r="A2510" s="2" t="inlineStr">
        <is>
          <t>Серверные опции</t>
        </is>
      </c>
      <c r="B2510" s="2" t="inlineStr">
        <is>
          <t>INTEL</t>
        </is>
      </c>
      <c r="C2510" s="2" t="inlineStr">
        <is>
          <t>CM8068404227903</t>
        </is>
      </c>
      <c r="D2510" s="2" t="inlineStr">
        <is>
          <t>Процессор Intel Xeon E-2246G 12Mb 3.6Ghz (CM8068404227903)</t>
        </is>
      </c>
      <c r="E2510" s="2">
        <v>3</v>
      </c>
      <c r="F2510" s="2">
        <v>3</v>
      </c>
      <c r="H2510" s="2">
        <v>509</v>
      </c>
      <c r="I2510" s="2" t="inlineStr">
        <is>
          <t>$</t>
        </is>
      </c>
      <c r="J2510" s="2">
        <f>HYPERLINK("https://app.astro.lead-studio.pro/product/558d3377-317f-4504-b62d-d6b1a88ccce7")</f>
      </c>
    </row>
    <row r="2511" spans="1:10" customHeight="0">
      <c r="A2511" s="2" t="inlineStr">
        <is>
          <t>Серверные опции</t>
        </is>
      </c>
      <c r="B2511" s="2" t="inlineStr">
        <is>
          <t>INTEL</t>
        </is>
      </c>
      <c r="C2511" s="2" t="inlineStr">
        <is>
          <t>CM8068404174806</t>
        </is>
      </c>
      <c r="D2511" s="2" t="inlineStr">
        <is>
          <t>Процессор Intel Xeon E-2234 8Mb 3.6Ghz (CM8068404174806)</t>
        </is>
      </c>
      <c r="E2511" s="2">
        <v>3</v>
      </c>
      <c r="F2511" s="2">
        <v>3</v>
      </c>
      <c r="H2511" s="2">
        <v>419</v>
      </c>
      <c r="I2511" s="2" t="inlineStr">
        <is>
          <t>$</t>
        </is>
      </c>
      <c r="J2511" s="2">
        <f>HYPERLINK("https://app.astro.lead-studio.pro/product/7284a00f-004d-42d2-b9c7-9e36ce2ff625")</f>
      </c>
    </row>
    <row r="2512" spans="1:10" customHeight="0">
      <c r="A2512" s="2" t="inlineStr">
        <is>
          <t>Серверные опции</t>
        </is>
      </c>
      <c r="B2512" s="2" t="inlineStr">
        <is>
          <t>INTEL</t>
        </is>
      </c>
      <c r="C2512" s="2" t="inlineStr">
        <is>
          <t>CM8068404174707</t>
        </is>
      </c>
      <c r="D2512" s="2" t="inlineStr">
        <is>
          <t>Процессор Intel Xeon E-2224 8Mb 3.4Ghz (CM8068404174707)</t>
        </is>
      </c>
      <c r="E2512" s="2">
        <v>15</v>
      </c>
      <c r="F2512" s="2">
        <v>15</v>
      </c>
      <c r="H2512" s="2">
        <v>361</v>
      </c>
      <c r="I2512" s="2" t="inlineStr">
        <is>
          <t>$</t>
        </is>
      </c>
      <c r="J2512" s="2">
        <f>HYPERLINK("https://app.astro.lead-studio.pro/product/42d2ce6e-900c-43cb-a005-0165a5c1805d")</f>
      </c>
    </row>
    <row r="2513" spans="1:10" customHeight="0">
      <c r="A2513" s="2" t="inlineStr">
        <is>
          <t>Серверные опции</t>
        </is>
      </c>
      <c r="B2513" s="2" t="inlineStr">
        <is>
          <t>INTEL</t>
        </is>
      </c>
      <c r="C2513" s="2" t="inlineStr">
        <is>
          <t>CD8068904657701</t>
        </is>
      </c>
      <c r="D2513" s="2" t="inlineStr">
        <is>
          <t>Процессор Intel Xeon Gold 6342 36Mb 2.8Ghz (CD8068904657701)</t>
        </is>
      </c>
      <c r="E2513" s="2">
        <v>20</v>
      </c>
      <c r="F2513" s="2">
        <v>18</v>
      </c>
      <c r="H2513" s="2">
        <v>2769</v>
      </c>
      <c r="I2513" s="2" t="inlineStr">
        <is>
          <t>$</t>
        </is>
      </c>
      <c r="J2513" s="2">
        <f>HYPERLINK("https://app.astro.lead-studio.pro/product/0db02f78-69a9-49fe-bd04-4f12482d6ce3")</f>
      </c>
    </row>
    <row r="2514" spans="1:10" customHeight="0">
      <c r="A2514" s="2" t="inlineStr">
        <is>
          <t>Серверные опции</t>
        </is>
      </c>
      <c r="B2514" s="2" t="inlineStr">
        <is>
          <t>INTEL</t>
        </is>
      </c>
      <c r="C2514" s="2" t="inlineStr">
        <is>
          <t>CD8069503956401</t>
        </is>
      </c>
      <c r="D2514" s="2" t="inlineStr">
        <is>
          <t>Процессор Intel Xeon Silver 4208 11Mb 2.1Ghz (CD8069503956401)</t>
        </is>
      </c>
      <c r="E2514" s="2">
        <v>3</v>
      </c>
      <c r="F2514" s="2">
        <v>3</v>
      </c>
      <c r="H2514" s="2">
        <v>357</v>
      </c>
      <c r="I2514" s="2" t="inlineStr">
        <is>
          <t>$</t>
        </is>
      </c>
      <c r="J2514" s="2">
        <f>HYPERLINK("https://app.astro.lead-studio.pro/product/3d79ddaa-91a6-487b-99cf-27449dd15adf")</f>
      </c>
    </row>
    <row r="2515" spans="1:10" customHeight="0">
      <c r="A2515" s="2" t="inlineStr">
        <is>
          <t>Серверные опции</t>
        </is>
      </c>
      <c r="B2515" s="2" t="inlineStr">
        <is>
          <t>INTEL</t>
        </is>
      </c>
      <c r="C2515" s="2" t="inlineStr">
        <is>
          <t>CD8069503956302</t>
        </is>
      </c>
      <c r="D2515" s="2" t="inlineStr">
        <is>
          <t>Процессор Intel Xeon Silver 4210 13.75Mb 2.2Ghz (CD8069503956302)</t>
        </is>
      </c>
      <c r="E2515" s="2">
        <v>13</v>
      </c>
      <c r="F2515" s="2">
        <v>13</v>
      </c>
      <c r="H2515" s="2">
        <v>386</v>
      </c>
      <c r="I2515" s="2" t="inlineStr">
        <is>
          <t>$</t>
        </is>
      </c>
      <c r="J2515" s="2">
        <f>HYPERLINK("https://app.astro.lead-studio.pro/product/a9251e65-5c50-4979-8ca1-c29be1f26991")</f>
      </c>
    </row>
    <row r="2516" spans="1:10" customHeight="0">
      <c r="A2516" s="2" t="inlineStr">
        <is>
          <t>Серверные опции</t>
        </is>
      </c>
      <c r="B2516" s="2" t="inlineStr">
        <is>
          <t>INTEL</t>
        </is>
      </c>
      <c r="C2516" s="2" t="inlineStr">
        <is>
          <t>CD8069504193301</t>
        </is>
      </c>
      <c r="D2516" s="2" t="inlineStr">
        <is>
          <t>Процессор Intel Xeon Gold 5218 22Mb 2.3Ghz (CD8069504193301)</t>
        </is>
      </c>
      <c r="E2516" s="2">
        <v>19</v>
      </c>
      <c r="F2516" s="2">
        <v>19</v>
      </c>
      <c r="H2516" s="2">
        <v>895</v>
      </c>
      <c r="I2516" s="2" t="inlineStr">
        <is>
          <t>$</t>
        </is>
      </c>
      <c r="J2516" s="2">
        <f>HYPERLINK("https://app.astro.lead-studio.pro/product/900889d1-5338-40b7-ba71-87354c6c2a1e")</f>
      </c>
    </row>
    <row r="2517" spans="1:10" customHeight="0">
      <c r="A2517" s="2" t="inlineStr">
        <is>
          <t>Серверные опции</t>
        </is>
      </c>
      <c r="B2517" s="2" t="inlineStr">
        <is>
          <t>INTEL</t>
        </is>
      </c>
      <c r="C2517" s="2" t="inlineStr">
        <is>
          <t>CD8069504214002</t>
        </is>
      </c>
      <c r="D2517" s="2" t="inlineStr">
        <is>
          <t>Процессор Intel Xeon Gold 5215 14Mb 2.5Ghz (CD8069504214002)</t>
        </is>
      </c>
      <c r="E2517" s="2">
        <v>17</v>
      </c>
      <c r="F2517" s="2">
        <v>17</v>
      </c>
      <c r="H2517" s="2">
        <v>963</v>
      </c>
      <c r="I2517" s="2" t="inlineStr">
        <is>
          <t>$</t>
        </is>
      </c>
      <c r="J2517" s="2">
        <f>HYPERLINK("https://app.astro.lead-studio.pro/product/f08756ca-49ec-4775-ad68-9f031dd1b198")</f>
      </c>
    </row>
    <row r="2518" spans="1:10" customHeight="0">
      <c r="A2518" s="2" t="inlineStr">
        <is>
          <t>Серверные опции</t>
        </is>
      </c>
      <c r="B2518" s="2" t="inlineStr">
        <is>
          <t>INTEL</t>
        </is>
      </c>
      <c r="C2518" s="2" t="inlineStr">
        <is>
          <t>CD8069504193501</t>
        </is>
      </c>
      <c r="D2518" s="2" t="inlineStr">
        <is>
          <t>Процессор Intel Xeon Gold 5222 16.5Mb 3.8Ghz (CD8069504193501)</t>
        </is>
      </c>
      <c r="E2518" s="2">
        <v>20</v>
      </c>
      <c r="F2518" s="2">
        <v>20</v>
      </c>
      <c r="H2518" s="2">
        <v>1275</v>
      </c>
      <c r="I2518" s="2" t="inlineStr">
        <is>
          <t>$</t>
        </is>
      </c>
      <c r="J2518" s="2">
        <f>HYPERLINK("https://app.astro.lead-studio.pro/product/66c0cbc1-881d-4155-b1ad-2784d2b2ce05")</f>
      </c>
    </row>
    <row r="2519" spans="1:10" customHeight="0">
      <c r="A2519" s="2" t="inlineStr">
        <is>
          <t>Серверные опции</t>
        </is>
      </c>
      <c r="B2519" s="2" t="inlineStr">
        <is>
          <t>INTEL</t>
        </is>
      </c>
      <c r="C2519" s="2" t="inlineStr">
        <is>
          <t>CD8069504283104</t>
        </is>
      </c>
      <c r="D2519" s="2" t="inlineStr">
        <is>
          <t>Процессор Intel Xeon Gold 6238 30.25Mb 2.1Ghz (CD8069504283104)</t>
        </is>
      </c>
      <c r="E2519" s="2">
        <v>5</v>
      </c>
      <c r="F2519" s="2">
        <v>1</v>
      </c>
      <c r="H2519" s="2">
        <v>911</v>
      </c>
      <c r="I2519" s="2" t="inlineStr">
        <is>
          <t>$</t>
        </is>
      </c>
      <c r="J2519" s="2">
        <f>HYPERLINK("https://app.astro.lead-studio.pro/product/42042b81-bb46-44a9-b705-4e96a28566e7")</f>
      </c>
    </row>
    <row r="2520" spans="1:10" customHeight="0">
      <c r="A2520" s="2" t="inlineStr">
        <is>
          <t>Серверные опции</t>
        </is>
      </c>
      <c r="B2520" s="2" t="inlineStr">
        <is>
          <t>INTEL</t>
        </is>
      </c>
      <c r="C2520" s="2" t="inlineStr">
        <is>
          <t>CD8069504194401</t>
        </is>
      </c>
      <c r="D2520" s="2" t="inlineStr">
        <is>
          <t>Процессор Intel Xeon Gold 6252 35.75Mb 2.1Ghz (CD8069504194401)</t>
        </is>
      </c>
      <c r="E2520" s="2">
        <v>12</v>
      </c>
      <c r="F2520" s="2">
        <v>12</v>
      </c>
      <c r="H2520" s="2">
        <v>1282</v>
      </c>
      <c r="I2520" s="2" t="inlineStr">
        <is>
          <t>$</t>
        </is>
      </c>
      <c r="J2520" s="2">
        <f>HYPERLINK("https://app.astro.lead-studio.pro/product/40e0752d-73b5-4f38-a3e6-a0ad5be8f2b7")</f>
      </c>
    </row>
    <row r="2521" spans="1:10" customHeight="0">
      <c r="A2521" s="2" t="inlineStr">
        <is>
          <t>Серверные опции</t>
        </is>
      </c>
      <c r="B2521" s="2" t="inlineStr">
        <is>
          <t>INTEL</t>
        </is>
      </c>
      <c r="C2521" s="2" t="inlineStr">
        <is>
          <t>CD8069504283404</t>
        </is>
      </c>
      <c r="D2521" s="2" t="inlineStr">
        <is>
          <t>Процессор Intel Xeon Gold 6226 19.25Mb 2.7Ghz (CD8069504283404)</t>
        </is>
      </c>
      <c r="E2521" s="2">
        <v>12</v>
      </c>
      <c r="F2521" s="2">
        <v>12</v>
      </c>
      <c r="H2521" s="2">
        <v>1306</v>
      </c>
      <c r="I2521" s="2" t="inlineStr">
        <is>
          <t>$</t>
        </is>
      </c>
      <c r="J2521" s="2">
        <f>HYPERLINK("https://app.astro.lead-studio.pro/product/b616b4de-322a-4cb0-843f-510e2159a7c4")</f>
      </c>
    </row>
    <row r="2522" spans="1:10" customHeight="0">
      <c r="A2522" s="2" t="inlineStr">
        <is>
          <t>Серверные опции</t>
        </is>
      </c>
      <c r="B2522" s="2" t="inlineStr">
        <is>
          <t>INTEL</t>
        </is>
      </c>
      <c r="C2522" s="2" t="inlineStr">
        <is>
          <t>CD8069504194301</t>
        </is>
      </c>
      <c r="D2522" s="2" t="inlineStr">
        <is>
          <t>Процессор Intel Xeon Gold 6248 28Mb 2.5Ghz (CD8069504194301)</t>
        </is>
      </c>
      <c r="E2522" s="2">
        <v>13</v>
      </c>
      <c r="F2522" s="2">
        <v>13</v>
      </c>
      <c r="H2522" s="2">
        <v>1238</v>
      </c>
      <c r="I2522" s="2" t="inlineStr">
        <is>
          <t>$</t>
        </is>
      </c>
      <c r="J2522" s="2">
        <f>HYPERLINK("https://app.astro.lead-studio.pro/product/acd89f3f-269b-484c-a978-9a28b1e2dc6b")</f>
      </c>
    </row>
    <row r="2523" spans="1:10" customHeight="0">
      <c r="A2523" s="2" t="inlineStr">
        <is>
          <t>Серверные опции</t>
        </is>
      </c>
      <c r="B2523" s="2" t="inlineStr">
        <is>
          <t>INTEL</t>
        </is>
      </c>
      <c r="C2523" s="2" t="inlineStr">
        <is>
          <t>CD8067303561800</t>
        </is>
      </c>
      <c r="D2523" s="2" t="inlineStr">
        <is>
          <t>Процессор Intel Xeon Silver 4114 13.75Mb 2.2Ghz (CD8067303561800)</t>
        </is>
      </c>
      <c r="E2523" s="2">
        <v>14</v>
      </c>
      <c r="F2523" s="2">
        <v>14</v>
      </c>
      <c r="H2523" s="2">
        <v>486</v>
      </c>
      <c r="I2523" s="2" t="inlineStr">
        <is>
          <t>$</t>
        </is>
      </c>
      <c r="J2523" s="2">
        <f>HYPERLINK("https://app.astro.lead-studio.pro/product/568fdb11-976f-407b-9326-443232b16a3f")</f>
      </c>
    </row>
    <row r="2524" spans="1:10" customHeight="0">
      <c r="A2524" s="2" t="inlineStr">
        <is>
          <t>Серверные опции</t>
        </is>
      </c>
      <c r="B2524" s="2" t="inlineStr">
        <is>
          <t>INTEL</t>
        </is>
      </c>
      <c r="C2524" s="2" t="inlineStr">
        <is>
          <t>CD8067303409000</t>
        </is>
      </c>
      <c r="D2524" s="2" t="inlineStr">
        <is>
          <t>Процессор Intel Xeon Gold 6130 22Mb 2.1Ghz (CD8067303409000)</t>
        </is>
      </c>
      <c r="E2524" s="2">
        <v>13</v>
      </c>
      <c r="F2524" s="2">
        <v>13</v>
      </c>
      <c r="H2524" s="2">
        <v>890</v>
      </c>
      <c r="I2524" s="2" t="inlineStr">
        <is>
          <t>$</t>
        </is>
      </c>
      <c r="J2524" s="2">
        <f>HYPERLINK("https://app.astro.lead-studio.pro/product/fa35537d-b887-48a9-8bc2-9d387e9c0b56")</f>
      </c>
    </row>
    <row r="2525" spans="1:10" customHeight="0">
      <c r="A2525" s="2" t="inlineStr">
        <is>
          <t>Серверные опции</t>
        </is>
      </c>
      <c r="B2525" s="2" t="inlineStr">
        <is>
          <t>INTEL</t>
        </is>
      </c>
      <c r="C2525" s="2" t="inlineStr">
        <is>
          <t>CD8069504425402</t>
        </is>
      </c>
      <c r="D2525" s="2" t="inlineStr">
        <is>
          <t>Процессор Intel Xeon Gold 6250 37.75Mb 3.9Ghz (CD8069504425402)</t>
        </is>
      </c>
      <c r="E2525" s="2">
        <v>6</v>
      </c>
      <c r="F2525" s="2">
        <v>6</v>
      </c>
      <c r="H2525" s="2">
        <v>4014</v>
      </c>
      <c r="I2525" s="2" t="inlineStr">
        <is>
          <t>$</t>
        </is>
      </c>
      <c r="J2525" s="2">
        <f>HYPERLINK("https://app.astro.lead-studio.pro/product/c336a95c-cc74-40a4-805a-8905482e1d96")</f>
      </c>
    </row>
    <row r="2526" spans="1:10" customHeight="0">
      <c r="A2526" s="2" t="inlineStr">
        <is>
          <t>Серверные опции</t>
        </is>
      </c>
      <c r="B2526" s="2" t="inlineStr">
        <is>
          <t>INTEL</t>
        </is>
      </c>
      <c r="C2526" s="2" t="inlineStr">
        <is>
          <t>CD8069504449200</t>
        </is>
      </c>
      <c r="D2526" s="2" t="inlineStr">
        <is>
          <t>Процессор Intel Xeon Silver 4215R 11Mb 3.2Ghz (CD8069504449200)</t>
        </is>
      </c>
      <c r="E2526" s="2">
        <v>13</v>
      </c>
      <c r="F2526" s="2">
        <v>13</v>
      </c>
      <c r="H2526" s="2">
        <v>1000</v>
      </c>
      <c r="I2526" s="2" t="inlineStr">
        <is>
          <t>$</t>
        </is>
      </c>
      <c r="J2526" s="2">
        <f>HYPERLINK("https://app.astro.lead-studio.pro/product/5d6060a6-848f-4ee4-9ba1-1bf629703b61")</f>
      </c>
    </row>
    <row r="2527" spans="1:10" customHeight="0">
      <c r="A2527" s="2" t="inlineStr">
        <is>
          <t>Серверные опции</t>
        </is>
      </c>
      <c r="B2527" s="2" t="inlineStr">
        <is>
          <t>INTEL</t>
        </is>
      </c>
      <c r="C2527" s="2" t="inlineStr">
        <is>
          <t>CD8069504343701</t>
        </is>
      </c>
      <c r="D2527" s="2" t="inlineStr">
        <is>
          <t>Процессор Intel Xeon Silver 4214R 16.5Mb 2.4Ghz (CD8069504343701)</t>
        </is>
      </c>
      <c r="E2527" s="2">
        <v>19</v>
      </c>
      <c r="F2527" s="2">
        <v>15</v>
      </c>
      <c r="H2527" s="2">
        <v>627</v>
      </c>
      <c r="I2527" s="2" t="inlineStr">
        <is>
          <t>$</t>
        </is>
      </c>
      <c r="J2527" s="2">
        <f>HYPERLINK("https://app.astro.lead-studio.pro/product/f4dee5b5-5e45-4e96-9e57-3a67326784ba")</f>
      </c>
    </row>
    <row r="2528" spans="1:10" customHeight="0">
      <c r="A2528" s="2" t="inlineStr">
        <is>
          <t>Серверные опции</t>
        </is>
      </c>
      <c r="B2528" s="2" t="inlineStr">
        <is>
          <t>INTEL</t>
        </is>
      </c>
      <c r="C2528" s="2" t="inlineStr">
        <is>
          <t>CD8069504449000</t>
        </is>
      </c>
      <c r="D2528" s="2" t="inlineStr">
        <is>
          <t>Процессор Intel Xeon Gold 6226R 22Mb 2.9Ghz (CD8069504449000)</t>
        </is>
      </c>
      <c r="E2528" s="2">
        <v>17</v>
      </c>
      <c r="F2528" s="2">
        <v>15</v>
      </c>
      <c r="H2528" s="2">
        <v>1112</v>
      </c>
      <c r="I2528" s="2" t="inlineStr">
        <is>
          <t>$</t>
        </is>
      </c>
      <c r="J2528" s="2">
        <f>HYPERLINK("https://app.astro.lead-studio.pro/product/6cf98b55-f17c-46be-b4ce-0425ce82199a")</f>
      </c>
    </row>
    <row r="2529" spans="1:10" customHeight="0">
      <c r="A2529" s="2" t="inlineStr">
        <is>
          <t>Серверные опции</t>
        </is>
      </c>
      <c r="B2529" s="2" t="inlineStr">
        <is>
          <t>INTEL</t>
        </is>
      </c>
      <c r="C2529" s="2" t="inlineStr">
        <is>
          <t>CD8069504448800</t>
        </is>
      </c>
      <c r="D2529" s="2" t="inlineStr">
        <is>
          <t>Процессор Intel Xeon Gold 6230R 35.75Mb 2.1Ghz (CD8069504448800)</t>
        </is>
      </c>
      <c r="E2529" s="2">
        <v>14</v>
      </c>
      <c r="F2529" s="2">
        <v>13</v>
      </c>
      <c r="H2529" s="2">
        <v>961</v>
      </c>
      <c r="I2529" s="2" t="inlineStr">
        <is>
          <t>$</t>
        </is>
      </c>
      <c r="J2529" s="2">
        <f>HYPERLINK("https://app.astro.lead-studio.pro/product/a718408b-72d7-4417-8dcd-c8092d30e9fd")</f>
      </c>
    </row>
    <row r="2530" spans="1:10" customHeight="0">
      <c r="A2530" s="2" t="inlineStr">
        <is>
          <t>Серверные опции</t>
        </is>
      </c>
      <c r="B2530" s="2" t="inlineStr">
        <is>
          <t>INTEL</t>
        </is>
      </c>
      <c r="C2530" s="2" t="inlineStr">
        <is>
          <t>CD8069504448701</t>
        </is>
      </c>
      <c r="D2530" s="2" t="inlineStr">
        <is>
          <t>Процессор Intel Xeon Gold 6238R 38.5Mb 2.2Ghz (CD8069504448701)</t>
        </is>
      </c>
      <c r="E2530" s="2">
        <v>9</v>
      </c>
      <c r="F2530" s="2">
        <v>7</v>
      </c>
      <c r="H2530" s="2">
        <v>1884</v>
      </c>
      <c r="I2530" s="2" t="inlineStr">
        <is>
          <t>$</t>
        </is>
      </c>
      <c r="J2530" s="2">
        <f>HYPERLINK("https://app.astro.lead-studio.pro/product/1860427a-039f-4785-bcc3-33a47fb21114")</f>
      </c>
    </row>
    <row r="2531" spans="1:10" customHeight="0">
      <c r="A2531" s="2" t="inlineStr">
        <is>
          <t>Серверные опции</t>
        </is>
      </c>
      <c r="B2531" s="2" t="inlineStr">
        <is>
          <t>INTEL</t>
        </is>
      </c>
      <c r="C2531" s="2" t="inlineStr">
        <is>
          <t>CD8069504283304</t>
        </is>
      </c>
      <c r="D2531" s="2" t="inlineStr">
        <is>
          <t>Процессор Intel Xeon Gold 6234 24.75Mb 3.3Ghz (CD8069504283304)</t>
        </is>
      </c>
      <c r="E2531" s="2">
        <v>19</v>
      </c>
      <c r="F2531" s="2">
        <v>17</v>
      </c>
      <c r="H2531" s="2">
        <v>1326</v>
      </c>
      <c r="I2531" s="2" t="inlineStr">
        <is>
          <t>$</t>
        </is>
      </c>
      <c r="J2531" s="2">
        <f>HYPERLINK("https://app.astro.lead-studio.pro/product/fe307d00-c921-442a-94ae-ee0959e4b28d")</f>
      </c>
    </row>
    <row r="2532" spans="1:10" customHeight="0">
      <c r="A2532" s="2" t="inlineStr">
        <is>
          <t>Серверные опции</t>
        </is>
      </c>
      <c r="B2532" s="2" t="inlineStr">
        <is>
          <t>INTEL</t>
        </is>
      </c>
      <c r="C2532" s="2" t="inlineStr">
        <is>
          <t>CD8069504449601</t>
        </is>
      </c>
      <c r="D2532" s="2" t="inlineStr">
        <is>
          <t>Процессор Intel Xeon Gold 6242R 35.75Mb 3.1Ghz (CD8069504449601)</t>
        </is>
      </c>
      <c r="E2532" s="2">
        <v>12</v>
      </c>
      <c r="F2532" s="2">
        <v>12</v>
      </c>
      <c r="H2532" s="2">
        <v>1578</v>
      </c>
      <c r="I2532" s="2" t="inlineStr">
        <is>
          <t>$</t>
        </is>
      </c>
      <c r="J2532" s="2">
        <f>HYPERLINK("https://app.astro.lead-studio.pro/product/f8d3a74d-3a5d-4a01-8293-9ce2b6d0555f")</f>
      </c>
    </row>
    <row r="2533" spans="1:10" customHeight="0">
      <c r="A2533" s="2" t="inlineStr">
        <is>
          <t>Серверные опции</t>
        </is>
      </c>
      <c r="B2533" s="2" t="inlineStr">
        <is>
          <t>INTEL</t>
        </is>
      </c>
      <c r="C2533" s="2" t="inlineStr">
        <is>
          <t>CD8069504448600</t>
        </is>
      </c>
      <c r="D2533" s="2" t="inlineStr">
        <is>
          <t>Процессор Intel Xeon Gold 6240R 35.75Mb 2.4Ghz (CD8069504448600)</t>
        </is>
      </c>
      <c r="E2533" s="2">
        <v>20</v>
      </c>
      <c r="F2533" s="2">
        <v>10</v>
      </c>
      <c r="H2533" s="2">
        <v>1645</v>
      </c>
      <c r="I2533" s="2" t="inlineStr">
        <is>
          <t>$</t>
        </is>
      </c>
      <c r="J2533" s="2">
        <f>HYPERLINK("https://app.astro.lead-studio.pro/product/7933e582-8f13-4327-9ec6-5e6b3f40e598")</f>
      </c>
    </row>
    <row r="2534" spans="1:10" customHeight="0">
      <c r="A2534" s="2" t="inlineStr">
        <is>
          <t>Серверные опции</t>
        </is>
      </c>
      <c r="B2534" s="2" t="inlineStr">
        <is>
          <t>INTEL</t>
        </is>
      </c>
      <c r="C2534" s="2" t="inlineStr">
        <is>
          <t>CD8069504194202</t>
        </is>
      </c>
      <c r="D2534" s="2" t="inlineStr">
        <is>
          <t>Процессор Intel Xeon Gold 6244 24.75Mb 3.6Ghz (CD8069504194202)</t>
        </is>
      </c>
      <c r="E2534" s="2">
        <v>3</v>
      </c>
      <c r="F2534" s="2">
        <v>3</v>
      </c>
      <c r="H2534" s="2">
        <v>2083</v>
      </c>
      <c r="I2534" s="2" t="inlineStr">
        <is>
          <t>$</t>
        </is>
      </c>
      <c r="J2534" s="2">
        <f>HYPERLINK("https://app.astro.lead-studio.pro/product/9895e630-f5b1-40fc-871a-1cbc7c7dc114")</f>
      </c>
    </row>
    <row r="2535" spans="1:10" customHeight="0">
      <c r="A2535" s="2" t="inlineStr">
        <is>
          <t>Серверные опции</t>
        </is>
      </c>
      <c r="B2535" s="2" t="inlineStr">
        <is>
          <t>INTEL</t>
        </is>
      </c>
      <c r="C2535" s="2" t="inlineStr">
        <is>
          <t>CD8069504282905</t>
        </is>
      </c>
      <c r="D2535" s="2" t="inlineStr">
        <is>
          <t>Процессор Intel Xeon Gold 6246 24.75Mb 3.3Ghz (CD8069504282905)</t>
        </is>
      </c>
      <c r="E2535" s="2">
        <v>18</v>
      </c>
      <c r="F2535" s="2">
        <v>18</v>
      </c>
      <c r="H2535" s="2">
        <v>1679</v>
      </c>
      <c r="I2535" s="2" t="inlineStr">
        <is>
          <t>$</t>
        </is>
      </c>
      <c r="J2535" s="2">
        <f>HYPERLINK("https://app.astro.lead-studio.pro/product/be87f40a-f721-41d8-a6ce-23c7e576944f")</f>
      </c>
    </row>
    <row r="2536" spans="1:10" customHeight="0">
      <c r="A2536" s="2" t="inlineStr">
        <is>
          <t>Серверные опции</t>
        </is>
      </c>
      <c r="B2536" s="2" t="inlineStr">
        <is>
          <t>INTEL</t>
        </is>
      </c>
      <c r="C2536" s="2" t="inlineStr">
        <is>
          <t>CD8069504425301</t>
        </is>
      </c>
      <c r="D2536" s="2" t="inlineStr">
        <is>
          <t>Процессор Intel Xeon Gold 6256 33Mb 3.6Ghz (CD8069504425301)</t>
        </is>
      </c>
      <c r="E2536" s="2">
        <v>12</v>
      </c>
      <c r="F2536" s="2">
        <v>12</v>
      </c>
      <c r="H2536" s="2">
        <v>4686</v>
      </c>
      <c r="I2536" s="2" t="inlineStr">
        <is>
          <t>$</t>
        </is>
      </c>
      <c r="J2536" s="2">
        <f>HYPERLINK("https://app.astro.lead-studio.pro/product/a3066875-546e-40b3-808b-ecf5a96275f1")</f>
      </c>
    </row>
    <row r="2537" spans="1:10" customHeight="0">
      <c r="A2537" s="2" t="inlineStr">
        <is>
          <t>Серверные опции</t>
        </is>
      </c>
      <c r="B2537" s="2" t="inlineStr">
        <is>
          <t>INTEL</t>
        </is>
      </c>
      <c r="C2537" s="2" t="inlineStr">
        <is>
          <t>CD8069504449401</t>
        </is>
      </c>
      <c r="D2537" s="2" t="inlineStr">
        <is>
          <t>Процессор Intel Xeon Gold 6248R 35.75Mb 3.0Ghz (CD8069504449401)</t>
        </is>
      </c>
      <c r="E2537" s="2">
        <v>20</v>
      </c>
      <c r="F2537" s="2">
        <v>14</v>
      </c>
      <c r="H2537" s="2">
        <v>1912</v>
      </c>
      <c r="I2537" s="2" t="inlineStr">
        <is>
          <t>$</t>
        </is>
      </c>
      <c r="J2537" s="2">
        <f>HYPERLINK("https://app.astro.lead-studio.pro/product/e4e864f7-92de-4e34-afb4-b71631f4dec2")</f>
      </c>
    </row>
    <row r="2538" spans="1:10" customHeight="0">
      <c r="A2538" s="2" t="inlineStr">
        <is>
          <t>Серверные опции</t>
        </is>
      </c>
      <c r="B2538" s="2" t="inlineStr">
        <is>
          <t>INTEL</t>
        </is>
      </c>
      <c r="C2538" s="2" t="inlineStr">
        <is>
          <t>CD8069504449801</t>
        </is>
      </c>
      <c r="D2538" s="2" t="inlineStr">
        <is>
          <t>Процессор Intel Xeon Gold 6246R 35.75Mb 3.4Ghz (CD8069504449801)</t>
        </is>
      </c>
      <c r="E2538" s="2">
        <v>14</v>
      </c>
      <c r="F2538" s="2">
        <v>14</v>
      </c>
      <c r="H2538" s="2">
        <v>1648</v>
      </c>
      <c r="I2538" s="2" t="inlineStr">
        <is>
          <t>$</t>
        </is>
      </c>
      <c r="J2538" s="2">
        <f>HYPERLINK("https://app.astro.lead-studio.pro/product/c46deece-e496-4137-abb8-c94d07671ccc")</f>
      </c>
    </row>
    <row r="2539" spans="1:10" customHeight="0">
      <c r="A2539" s="2" t="inlineStr">
        <is>
          <t>Серверные опции</t>
        </is>
      </c>
      <c r="B2539" s="2" t="inlineStr">
        <is>
          <t>INTEL</t>
        </is>
      </c>
      <c r="C2539" s="2" t="inlineStr">
        <is>
          <t>CD8069504446300</t>
        </is>
      </c>
      <c r="D2539" s="2" t="inlineStr">
        <is>
          <t>Процессор Intel Xeon Gold 5218R 27.5Mb 2.1Ghz (CD8069504446300)</t>
        </is>
      </c>
      <c r="E2539" s="2">
        <v>20</v>
      </c>
      <c r="F2539" s="2">
        <v>20</v>
      </c>
      <c r="H2539" s="2">
        <v>1046</v>
      </c>
      <c r="I2539" s="2" t="inlineStr">
        <is>
          <t>$</t>
        </is>
      </c>
      <c r="J2539" s="2">
        <f>HYPERLINK("https://app.astro.lead-studio.pro/product/c8ee6e98-3fd7-47ff-af2f-dcdd061f97bd")</f>
      </c>
    </row>
    <row r="2540" spans="1:10" customHeight="0">
      <c r="A2540" s="2" t="inlineStr">
        <is>
          <t>Серверные опции</t>
        </is>
      </c>
      <c r="B2540" s="2" t="inlineStr">
        <is>
          <t>INTEL</t>
        </is>
      </c>
      <c r="C2540" s="2" t="inlineStr">
        <is>
          <t>RMSP3JD160J 954490</t>
        </is>
      </c>
      <c r="D2540" s="2" t="inlineStr">
        <is>
          <t>Модуль Intel RMSP3JD160J RAID JBOD LSI3416 PCI-e/SAS/SATA (RMSP3JD160J 954490)</t>
        </is>
      </c>
      <c r="E2540" s="2">
        <v>6</v>
      </c>
      <c r="F2540" s="2">
        <v>6</v>
      </c>
      <c r="H2540" s="2">
        <v>404</v>
      </c>
      <c r="I2540" s="2" t="inlineStr">
        <is>
          <t>$</t>
        </is>
      </c>
      <c r="J2540" s="2">
        <f>HYPERLINK("https://app.astro.lead-studio.pro/product/102ccb93-d6bc-4739-9741-ad7846e6139b")</f>
      </c>
    </row>
    <row r="2541" spans="1:10" customHeight="0">
      <c r="A2541" s="2" t="inlineStr">
        <is>
          <t>Серверные опции</t>
        </is>
      </c>
      <c r="B2541" s="2" t="inlineStr">
        <is>
          <t>INTEL</t>
        </is>
      </c>
      <c r="C2541" s="2" t="inlineStr">
        <is>
          <t>SPTSBP4LLCDF 99A8XX</t>
        </is>
      </c>
      <c r="D2541" s="2" t="inlineStr">
        <is>
          <t>Трансивер Intel SPTSBP4LLCDF QSFP28 LR4 Optical 100Gbps (SPTSBP4LLCDF 99A8XX)</t>
        </is>
      </c>
      <c r="E2541" s="2">
        <v>4</v>
      </c>
      <c r="F2541" s="2">
        <v>4</v>
      </c>
      <c r="H2541" s="2">
        <v>1056</v>
      </c>
      <c r="I2541" s="2" t="inlineStr">
        <is>
          <t>$</t>
        </is>
      </c>
      <c r="J2541" s="2">
        <f>HYPERLINK("https://app.astro.lead-studio.pro/product/a0187827-da41-4196-8a8a-55aae068474d")</f>
      </c>
    </row>
    <row r="2542" spans="1:10" customHeight="0">
      <c r="A2542" s="2" t="inlineStr">
        <is>
          <t>Серверные опции</t>
        </is>
      </c>
      <c r="B2542" s="2" t="inlineStr">
        <is>
          <t>INTEL</t>
        </is>
      </c>
      <c r="C2542" s="2" t="inlineStr">
        <is>
          <t>CD8069504194501</t>
        </is>
      </c>
      <c r="D2542" s="2" t="inlineStr">
        <is>
          <t>Процессор Intel Xeon Gold 6254 24.75Mb 3.1Ghz (CD8069504194501)</t>
        </is>
      </c>
      <c r="E2542" s="2">
        <v>11</v>
      </c>
      <c r="F2542" s="2">
        <v>11</v>
      </c>
      <c r="H2542" s="2">
        <v>1727</v>
      </c>
      <c r="I2542" s="2" t="inlineStr">
        <is>
          <t>$</t>
        </is>
      </c>
      <c r="J2542" s="2">
        <f>HYPERLINK("https://app.astro.lead-studio.pro/product/7ee2c86a-16db-4009-92f6-c3288056a5a4")</f>
      </c>
    </row>
    <row r="2543" spans="1:10" customHeight="0">
      <c r="A2543" s="2" t="inlineStr">
        <is>
          <t>Серверные опции</t>
        </is>
      </c>
      <c r="B2543" s="2" t="inlineStr">
        <is>
          <t>INTEL</t>
        </is>
      </c>
      <c r="C2543" s="2" t="inlineStr">
        <is>
          <t>CD8068904657601</t>
        </is>
      </c>
      <c r="D2543" s="2" t="inlineStr">
        <is>
          <t>Процессор Intel Xeon Gold 6334 18Mb 3.6Ghz (CD8068904657601)</t>
        </is>
      </c>
      <c r="E2543" s="2">
        <v>13</v>
      </c>
      <c r="F2543" s="2">
        <v>13</v>
      </c>
      <c r="H2543" s="2">
        <v>1795</v>
      </c>
      <c r="I2543" s="2" t="inlineStr">
        <is>
          <t>$</t>
        </is>
      </c>
      <c r="J2543" s="2">
        <f>HYPERLINK("https://app.astro.lead-studio.pro/product/95485ba0-5399-43da-9901-a061eab13156")</f>
      </c>
    </row>
    <row r="2544" spans="1:10" customHeight="0">
      <c r="A2544" s="2" t="inlineStr">
        <is>
          <t>Процессоры</t>
        </is>
      </c>
      <c r="B2544" s="2" t="inlineStr">
        <is>
          <t>AMD</t>
        </is>
      </c>
      <c r="C2544" s="2" t="inlineStr">
        <is>
          <t>100-000000061</t>
        </is>
      </c>
      <c r="D2544" s="2" t="inlineStr">
        <is>
          <t>Процессор AMD Ryzen 9 5900X AM4 (100-000000061) (3.7GHz) OEM</t>
        </is>
      </c>
      <c r="E2544" s="2">
        <v>14</v>
      </c>
      <c r="F2544" s="2">
        <v>13</v>
      </c>
      <c r="H2544" s="2">
        <v>341</v>
      </c>
      <c r="I2544" s="2" t="inlineStr">
        <is>
          <t>$</t>
        </is>
      </c>
      <c r="J2544" s="2">
        <f>HYPERLINK("https://app.astro.lead-studio.pro/product/19ddc13c-6f2f-4aa9-8231-c4bedf7256d0")</f>
      </c>
    </row>
    <row r="2545" spans="1:10" customHeight="0">
      <c r="A2545" s="2" t="inlineStr">
        <is>
          <t>Процессоры</t>
        </is>
      </c>
      <c r="B2545" s="2" t="inlineStr">
        <is>
          <t>AMD</t>
        </is>
      </c>
      <c r="C2545" s="2" t="inlineStr">
        <is>
          <t>100-000000059</t>
        </is>
      </c>
      <c r="D2545" s="2" t="inlineStr">
        <is>
          <t>Процессор AMD Ryzen 9 5950X AM4 (100-000000059) (3.4GHz) OEM</t>
        </is>
      </c>
      <c r="E2545" s="2">
        <v>23</v>
      </c>
      <c r="F2545" s="2">
        <v>19</v>
      </c>
      <c r="H2545" s="2">
        <v>440</v>
      </c>
      <c r="I2545" s="2" t="inlineStr">
        <is>
          <t>$</t>
        </is>
      </c>
      <c r="J2545" s="2">
        <f>HYPERLINK("https://app.astro.lead-studio.pro/product/6a181162-cf9a-4bb9-88f1-4648547fce16")</f>
      </c>
    </row>
    <row r="2546" spans="1:10" customHeight="0">
      <c r="A2546" s="2" t="inlineStr">
        <is>
          <t>Процессоры</t>
        </is>
      </c>
      <c r="B2546" s="2" t="inlineStr">
        <is>
          <t>INTEL</t>
        </is>
      </c>
      <c r="C2546" s="2" t="inlineStr">
        <is>
          <t>CM8071504549230 SRL4H</t>
        </is>
      </c>
      <c r="D2546" s="2" t="inlineStr">
        <is>
          <t>Процессор Intel Core i9 12900K Soc-1700 (CM8071504549230 SRL4H) (3.2GHz/Intel UHD Graphics 770) OEM</t>
        </is>
      </c>
      <c r="E2546" s="2">
        <v>3</v>
      </c>
      <c r="F2546" s="2">
        <v>3</v>
      </c>
      <c r="H2546" s="2">
        <v>424</v>
      </c>
      <c r="I2546" s="2" t="inlineStr">
        <is>
          <t>$</t>
        </is>
      </c>
      <c r="J2546" s="2">
        <f>HYPERLINK("https://app.astro.lead-studio.pro/product/68dad2ee-931a-499c-9e80-4517bd4a420b")</f>
      </c>
    </row>
    <row r="2547" spans="1:10" customHeight="0">
      <c r="A2547" s="2" t="inlineStr">
        <is>
          <t>Процессоры</t>
        </is>
      </c>
      <c r="B2547" s="2" t="inlineStr">
        <is>
          <t>INTEL</t>
        </is>
      </c>
      <c r="C2547" s="2" t="inlineStr">
        <is>
          <t>CM8071504549231 SRL4J</t>
        </is>
      </c>
      <c r="D2547" s="2" t="inlineStr">
        <is>
          <t>Процессор Intel Core i9 12900KF Soc-1700 (CM8071504549231 SRL4J) (3.2GHz) OEM</t>
        </is>
      </c>
      <c r="E2547" s="2">
        <v>19</v>
      </c>
      <c r="F2547" s="2">
        <v>6</v>
      </c>
      <c r="H2547" s="2">
        <v>371</v>
      </c>
      <c r="I2547" s="2" t="inlineStr">
        <is>
          <t>$</t>
        </is>
      </c>
      <c r="J2547" s="2">
        <f>HYPERLINK("https://app.astro.lead-studio.pro/product/60349306-c865-44a5-b5c5-24c483d3f90f")</f>
      </c>
    </row>
    <row r="2548" spans="1:10" customHeight="0">
      <c r="A2548" s="2" t="inlineStr">
        <is>
          <t>Системы хранения данных (СХД)</t>
        </is>
      </c>
      <c r="B2548" s="2" t="inlineStr">
        <is>
          <t>BROCADE</t>
        </is>
      </c>
      <c r="C2548" s="2" t="inlineStr">
        <is>
          <t>BR-G620-64-32G-R</t>
        </is>
      </c>
      <c r="D2548" s="2" t="inlineStr">
        <is>
          <t>Коммутатор Brocade G620 G620 32GB SWLSFP BR AC Port Side EX incl. Bundle (BR-G620-64-32G-R)</t>
        </is>
      </c>
      <c r="E2548" s="2">
        <v>3</v>
      </c>
      <c r="F2548" s="2">
        <v>3</v>
      </c>
      <c r="H2548" s="2">
        <v>24218</v>
      </c>
      <c r="I2548" s="2" t="inlineStr">
        <is>
          <t>$</t>
        </is>
      </c>
      <c r="J2548" s="2">
        <f>HYPERLINK("https://app.astro.lead-studio.pro/product/57fa7216-e3a0-42ca-a300-8a99451fdd7f")</f>
      </c>
    </row>
    <row r="2549" spans="1:10" customHeight="0">
      <c r="A2549" s="2" t="inlineStr">
        <is>
          <t>Серверные опции</t>
        </is>
      </c>
      <c r="B2549" s="2" t="inlineStr">
        <is>
          <t>HPE</t>
        </is>
      </c>
      <c r="C2549" s="2" t="inlineStr">
        <is>
          <t>R0Q47A</t>
        </is>
      </c>
      <c r="D2549" s="2" t="inlineStr">
        <is>
          <t>Накопитель SSD HPE 1.92TB SAS SFF R0Q47A 2.5"</t>
        </is>
      </c>
      <c r="E2549" s="2">
        <v>12</v>
      </c>
      <c r="F2549" s="2">
        <v>12</v>
      </c>
      <c r="H2549" s="2">
        <v>11862</v>
      </c>
      <c r="I2549" s="2" t="inlineStr">
        <is>
          <t>$</t>
        </is>
      </c>
      <c r="J2549" s="2">
        <f>HYPERLINK("https://app.astro.lead-studio.pro/product/1d3f6b6e-369b-42e4-8d5a-e4631f02c15f")</f>
      </c>
    </row>
    <row r="2550" spans="1:10" customHeight="0">
      <c r="A2550" s="2" t="inlineStr">
        <is>
          <t>Системы хранения данных (СХД)</t>
        </is>
      </c>
      <c r="B2550" s="2" t="inlineStr">
        <is>
          <t>HPE</t>
        </is>
      </c>
      <c r="C2550" s="2" t="inlineStr">
        <is>
          <t>Q6Q67A</t>
        </is>
      </c>
      <c r="D2550" s="2" t="inlineStr">
        <is>
          <t>Ленточный накопитель HPE StoreEver MSL LTO-8 Ultrium 30750 FC (Q6Q67A)</t>
        </is>
      </c>
      <c r="E2550" s="2">
        <v>5</v>
      </c>
      <c r="F2550" s="2">
        <v>3</v>
      </c>
      <c r="H2550" s="2">
        <v>7970</v>
      </c>
      <c r="I2550" s="2" t="inlineStr">
        <is>
          <t>$</t>
        </is>
      </c>
      <c r="J2550" s="2">
        <f>HYPERLINK("https://app.astro.lead-studio.pro/product/76fef802-5ef8-444d-9d59-6f5250e5ff40")</f>
      </c>
    </row>
    <row r="2551" spans="1:10" customHeight="0">
      <c r="A2551" s="2" t="inlineStr">
        <is>
          <t>Системы хранения данных (СХД)</t>
        </is>
      </c>
      <c r="B2551" s="2" t="inlineStr">
        <is>
          <t>HPE</t>
        </is>
      </c>
      <c r="C2551" s="2" t="inlineStr">
        <is>
          <t>R6Q74A</t>
        </is>
      </c>
      <c r="D2551" s="2" t="inlineStr">
        <is>
          <t>Ленточный накопитель HPE StoreEver MSL LTO-9 Ultrium 45000 FC (R6Q74A)</t>
        </is>
      </c>
      <c r="E2551" s="2">
        <v>4</v>
      </c>
      <c r="F2551" s="2">
        <v>1</v>
      </c>
      <c r="H2551" s="2">
        <v>11607</v>
      </c>
      <c r="I2551" s="2" t="inlineStr">
        <is>
          <t>$</t>
        </is>
      </c>
      <c r="J2551" s="2">
        <f>HYPERLINK("https://app.astro.lead-studio.pro/product/ea84acdf-e524-40a0-b0a7-1bce5741fb78")</f>
      </c>
    </row>
    <row r="2552" spans="1:10" customHeight="0">
      <c r="A2552" s="2" t="inlineStr">
        <is>
          <t>Системы хранения данных (СХД)</t>
        </is>
      </c>
      <c r="B2552" s="2" t="inlineStr">
        <is>
          <t>HPE</t>
        </is>
      </c>
      <c r="C2552" s="2" t="inlineStr">
        <is>
          <t>Q6Q68A</t>
        </is>
      </c>
      <c r="D2552" s="2" t="inlineStr">
        <is>
          <t>Ленточный накопитель HPE StoreEver MSL LTO-8 Ultrium 30750 SAS (Q6Q68A)</t>
        </is>
      </c>
      <c r="E2552" s="2">
        <v>2</v>
      </c>
      <c r="F2552" s="2">
        <v>2</v>
      </c>
      <c r="H2552" s="2">
        <v>7989</v>
      </c>
      <c r="I2552" s="2" t="inlineStr">
        <is>
          <t>$</t>
        </is>
      </c>
      <c r="J2552" s="2">
        <f>HYPERLINK("https://app.astro.lead-studio.pro/product/da840547-a26d-4475-a76b-9c8a9060a081")</f>
      </c>
    </row>
    <row r="2553" spans="1:10" customHeight="0">
      <c r="A2553" s="2" t="inlineStr">
        <is>
          <t>Серверные опции</t>
        </is>
      </c>
      <c r="B2553" s="2" t="inlineStr">
        <is>
          <t>LENOVO</t>
        </is>
      </c>
      <c r="C2553" s="2" t="inlineStr">
        <is>
          <t>4XG7A63468</t>
        </is>
      </c>
      <c r="D2553" s="2" t="inlineStr">
        <is>
          <t>Процессор Lenovo Intel Xeon Silver 4310 18Mb 2.1Ghz (4XG7A63468)</t>
        </is>
      </c>
      <c r="E2553" s="2">
        <v>3</v>
      </c>
      <c r="F2553" s="2">
        <v>3</v>
      </c>
      <c r="H2553" s="2">
        <v>1120</v>
      </c>
      <c r="I2553" s="2" t="inlineStr">
        <is>
          <t>$</t>
        </is>
      </c>
      <c r="J2553" s="2">
        <f>HYPERLINK("https://app.astro.lead-studio.pro/product/1cabec9d-78d9-4bb9-9681-3d841d0badd8")</f>
      </c>
    </row>
    <row r="2554" spans="1:10" customHeight="0">
      <c r="A2554" s="2" t="inlineStr">
        <is>
          <t>Серверные опции</t>
        </is>
      </c>
      <c r="B2554" s="2" t="inlineStr">
        <is>
          <t>LENOVO</t>
        </is>
      </c>
      <c r="C2554" s="2" t="inlineStr">
        <is>
          <t>4X77A08633</t>
        </is>
      </c>
      <c r="D2554" s="2" t="inlineStr">
        <is>
          <t>Память DDR4 Lenovo 4X77A08633 32Gb DIMM ECC Reg PC4-25600 3200MHz</t>
        </is>
      </c>
      <c r="E2554" s="2">
        <v>19</v>
      </c>
      <c r="F2554" s="2">
        <v>19</v>
      </c>
      <c r="H2554" s="2">
        <v>376</v>
      </c>
      <c r="I2554" s="2" t="inlineStr">
        <is>
          <t>$</t>
        </is>
      </c>
      <c r="J2554" s="2">
        <f>HYPERLINK("https://app.astro.lead-studio.pro/product/4c417437-2853-40d0-ad31-946f6035975b")</f>
      </c>
    </row>
    <row r="2555" spans="1:10" customHeight="0">
      <c r="A2555" s="2" t="inlineStr">
        <is>
          <t>Серверные опции</t>
        </is>
      </c>
      <c r="B2555" s="2" t="inlineStr">
        <is>
          <t>LENOVO</t>
        </is>
      </c>
      <c r="C2555" s="2" t="inlineStr">
        <is>
          <t>4Y37A72483</t>
        </is>
      </c>
      <c r="D2555" s="2" t="inlineStr">
        <is>
          <t>Адаптер Lenovo 4Y37A72483 ThinkSystem RAID 9350-8i 2GB Flash PCIe 12Gb</t>
        </is>
      </c>
      <c r="E2555" s="2">
        <v>1</v>
      </c>
      <c r="F2555" s="2">
        <v>1</v>
      </c>
      <c r="H2555" s="2">
        <v>772</v>
      </c>
      <c r="I2555" s="2" t="inlineStr">
        <is>
          <t>$</t>
        </is>
      </c>
      <c r="J2555" s="2">
        <f>HYPERLINK("https://app.astro.lead-studio.pro/product/1ab19be6-560f-4d68-8c97-84a30c50290d")</f>
      </c>
    </row>
    <row r="2556" spans="1:10" customHeight="0">
      <c r="A2556" s="2" t="inlineStr">
        <is>
          <t>Серверные опции</t>
        </is>
      </c>
      <c r="B2556" s="2" t="inlineStr">
        <is>
          <t>LENOVO</t>
        </is>
      </c>
      <c r="C2556" s="2" t="inlineStr">
        <is>
          <t>4XB7A17077</t>
        </is>
      </c>
      <c r="D2556" s="2" t="inlineStr">
        <is>
          <t>Накопитель SSD Lenovo 960GB SATA 4XB7A17077 Hot Swapp 2.5"</t>
        </is>
      </c>
      <c r="E2556" s="2">
        <v>15</v>
      </c>
      <c r="F2556" s="2">
        <v>15</v>
      </c>
      <c r="H2556" s="2">
        <v>469</v>
      </c>
      <c r="I2556" s="2" t="inlineStr">
        <is>
          <t>$</t>
        </is>
      </c>
      <c r="J2556" s="2">
        <f>HYPERLINK("https://app.astro.lead-studio.pro/product/657335e0-5325-434d-acf1-a4c7427591e1")</f>
      </c>
    </row>
    <row r="2557" spans="1:10" customHeight="0">
      <c r="A2557" s="2" t="inlineStr">
        <is>
          <t>Серверные опции</t>
        </is>
      </c>
      <c r="B2557" s="2" t="inlineStr">
        <is>
          <t>LENOVO</t>
        </is>
      </c>
      <c r="C2557" s="2" t="inlineStr">
        <is>
          <t>01CV840</t>
        </is>
      </c>
      <c r="D2557" s="2" t="inlineStr">
        <is>
          <t>Сетевой адаптер Lenovo 01CV840 Emulex 16Gb Gen6 FC Dual-port HBA</t>
        </is>
      </c>
      <c r="E2557" s="2">
        <v>7</v>
      </c>
      <c r="F2557" s="2">
        <v>7</v>
      </c>
      <c r="H2557" s="2">
        <v>997</v>
      </c>
      <c r="I2557" s="2" t="inlineStr">
        <is>
          <t>$</t>
        </is>
      </c>
      <c r="J2557" s="2">
        <f>HYPERLINK("https://app.astro.lead-studio.pro/product/8bfbd357-7b4d-4956-bf5c-345958fdc11d")</f>
      </c>
    </row>
    <row r="2558" spans="1:10" customHeight="0">
      <c r="A2558" s="2" t="inlineStr">
        <is>
          <t>Cетевое оборудование</t>
        </is>
      </c>
      <c r="B2558" s="2" t="inlineStr">
        <is>
          <t>ALLIED TELESIS</t>
        </is>
      </c>
      <c r="C2558" s="2" t="inlineStr">
        <is>
          <t>AT-GS970M/10-50</t>
        </is>
      </c>
      <c r="D2558" s="2" t="inlineStr">
        <is>
          <t>Коммутатор Allied Telesis AT-GS970M/10-50 (L3) 8x1Гбит/с 2SFP управляемый</t>
        </is>
      </c>
      <c r="E2558" s="2">
        <v>1</v>
      </c>
      <c r="F2558" s="2">
        <v>1</v>
      </c>
      <c r="H2558" s="2">
        <v>542</v>
      </c>
      <c r="I2558" s="2" t="inlineStr">
        <is>
          <t>$</t>
        </is>
      </c>
      <c r="J2558" s="2">
        <f>HYPERLINK("https://app.astro.lead-studio.pro/product/5084c27e-6c01-44ca-91a9-f6bfac41880d")</f>
      </c>
    </row>
    <row r="2559" spans="1:10" customHeight="0">
      <c r="A2559" s="2" t="inlineStr">
        <is>
          <t>Cетевое оборудование</t>
        </is>
      </c>
      <c r="B2559" s="2" t="inlineStr">
        <is>
          <t>ALLIED TELESIS</t>
        </is>
      </c>
      <c r="C2559" s="2" t="inlineStr">
        <is>
          <t>AT-GS970M/18-50</t>
        </is>
      </c>
      <c r="D2559" s="2" t="inlineStr">
        <is>
          <t>Коммутатор Allied Telesis AT-GS970M/18-50 (L3) 16x1Гбит/с 2SFP управляемый</t>
        </is>
      </c>
      <c r="E2559" s="2">
        <v>1</v>
      </c>
      <c r="F2559" s="2">
        <v>1</v>
      </c>
      <c r="H2559" s="2">
        <v>813</v>
      </c>
      <c r="I2559" s="2" t="inlineStr">
        <is>
          <t>$</t>
        </is>
      </c>
      <c r="J2559" s="2">
        <f>HYPERLINK("https://app.astro.lead-studio.pro/product/d34c18b1-7bdd-4858-9fc6-24503d1bcfd2")</f>
      </c>
    </row>
    <row r="2560" spans="1:10" customHeight="0">
      <c r="A2560" s="2" t="inlineStr">
        <is>
          <t>Cетевое оборудование</t>
        </is>
      </c>
      <c r="B2560" s="2" t="inlineStr">
        <is>
          <t>ALLIED TELESIS</t>
        </is>
      </c>
      <c r="C2560" s="2" t="inlineStr">
        <is>
          <t>AT-GS970M/28-50</t>
        </is>
      </c>
      <c r="D2560" s="2" t="inlineStr">
        <is>
          <t>Коммутатор Allied Telesis AT-GS970M/28-50 (L3) 24x1Гбит/с 4SFP управляемый</t>
        </is>
      </c>
      <c r="E2560" s="2">
        <v>1</v>
      </c>
      <c r="F2560" s="2">
        <v>1</v>
      </c>
      <c r="H2560" s="2">
        <v>970</v>
      </c>
      <c r="I2560" s="2" t="inlineStr">
        <is>
          <t>$</t>
        </is>
      </c>
      <c r="J2560" s="2">
        <f>HYPERLINK("https://app.astro.lead-studio.pro/product/a8ab5ec5-b817-4669-8490-d57fbb6c5632")</f>
      </c>
    </row>
    <row r="2561" spans="1:10" customHeight="0">
      <c r="A2561" s="2" t="inlineStr">
        <is>
          <t>Cетевое оборудование</t>
        </is>
      </c>
      <c r="B2561" s="2" t="inlineStr">
        <is>
          <t>ALLIED TELESIS</t>
        </is>
      </c>
      <c r="C2561" s="2" t="inlineStr">
        <is>
          <t>AT-GS970M/10PS-R-50</t>
        </is>
      </c>
      <c r="D2561" s="2" t="inlineStr">
        <is>
          <t>Коммутатор Allied Telesis AT-GS970M/10PS-R-50 8x1Гбит/с 2SFP 8PoE 4PoE+ 124W управляемый</t>
        </is>
      </c>
      <c r="E2561" s="2">
        <v>3</v>
      </c>
      <c r="F2561" s="2">
        <v>3</v>
      </c>
      <c r="H2561" s="2">
        <v>957</v>
      </c>
      <c r="I2561" s="2" t="inlineStr">
        <is>
          <t>$</t>
        </is>
      </c>
      <c r="J2561" s="2">
        <f>HYPERLINK("https://app.astro.lead-studio.pro/product/c0eebcbc-9c11-4c12-85f2-e9c5cd94c67b")</f>
      </c>
    </row>
    <row r="2562" spans="1:10" customHeight="0">
      <c r="A2562" s="2" t="inlineStr">
        <is>
          <t>Cетевое оборудование</t>
        </is>
      </c>
      <c r="B2562" s="2" t="inlineStr">
        <is>
          <t>ALLIED TELESIS</t>
        </is>
      </c>
      <c r="C2562" s="2" t="inlineStr">
        <is>
          <t>AT-GS970M/18PS-R-50</t>
        </is>
      </c>
      <c r="D2562" s="2" t="inlineStr">
        <is>
          <t>Коммутатор Allied Telesis AT-GS970M/18PS-R-50 (L3) 16x1Гбит/с 2SFP 16PoE 8PoE+ 247W управляемый</t>
        </is>
      </c>
      <c r="E2562" s="2">
        <v>3</v>
      </c>
      <c r="F2562" s="2">
        <v>3</v>
      </c>
      <c r="H2562" s="2">
        <v>1052</v>
      </c>
      <c r="I2562" s="2" t="inlineStr">
        <is>
          <t>$</t>
        </is>
      </c>
      <c r="J2562" s="2">
        <f>HYPERLINK("https://app.astro.lead-studio.pro/product/6ee9d184-7f6e-4a03-a1a4-95e271bbc1e9")</f>
      </c>
    </row>
    <row r="2563" spans="1:10" customHeight="0">
      <c r="A2563" s="2" t="inlineStr">
        <is>
          <t>Cетевое оборудование</t>
        </is>
      </c>
      <c r="B2563" s="2" t="inlineStr">
        <is>
          <t>ALLIED TELESIS</t>
        </is>
      </c>
      <c r="C2563" s="2" t="inlineStr">
        <is>
          <t>AT-GS980M/52-50</t>
        </is>
      </c>
      <c r="D2563" s="2" t="inlineStr">
        <is>
          <t>Коммутатор Allied Telesis AT-GS980M/52-50 (L3) 48x1Гбит/с 4SFP 48PoE+ 740W управляемый</t>
        </is>
      </c>
      <c r="E2563" s="2">
        <v>2</v>
      </c>
      <c r="F2563" s="2">
        <v>2</v>
      </c>
      <c r="H2563" s="2">
        <v>1843</v>
      </c>
      <c r="I2563" s="2" t="inlineStr">
        <is>
          <t>$</t>
        </is>
      </c>
      <c r="J2563" s="2">
        <f>HYPERLINK("https://app.astro.lead-studio.pro/product/dde4591e-6201-4099-be80-4709bd155484")</f>
      </c>
    </row>
    <row r="2564" spans="1:10" customHeight="0">
      <c r="A2564" s="2" t="inlineStr">
        <is>
          <t>Cетевое оборудование</t>
        </is>
      </c>
      <c r="B2564" s="2" t="inlineStr">
        <is>
          <t>ALLIED TELESIS</t>
        </is>
      </c>
      <c r="C2564" s="2" t="inlineStr">
        <is>
          <t>AT-GS980M/52PS-50</t>
        </is>
      </c>
      <c r="D2564" s="2" t="inlineStr">
        <is>
          <t>Коммутатор Allied Telesis AT-GS980M/52PS-50 (L3) 48x1Гбит/с 4SFP 740W управляемый</t>
        </is>
      </c>
      <c r="E2564" s="2">
        <v>2</v>
      </c>
      <c r="F2564" s="2">
        <v>2</v>
      </c>
      <c r="H2564" s="2">
        <v>2617</v>
      </c>
      <c r="I2564" s="2" t="inlineStr">
        <is>
          <t>$</t>
        </is>
      </c>
      <c r="J2564" s="2">
        <f>HYPERLINK("https://app.astro.lead-studio.pro/product/580814c0-97d0-4d18-a07b-6b6f51b58ab8")</f>
      </c>
    </row>
    <row r="2565" spans="1:10" customHeight="0">
      <c r="A2565" s="2" t="inlineStr">
        <is>
          <t>Cетевое оборудование</t>
        </is>
      </c>
      <c r="B2565" s="2" t="inlineStr">
        <is>
          <t>ALLIED TELESIS</t>
        </is>
      </c>
      <c r="C2565" s="2" t="inlineStr">
        <is>
          <t>AT-FS980M/18-50</t>
        </is>
      </c>
      <c r="D2565" s="2" t="inlineStr">
        <is>
          <t>Коммутатор Allied Telesis AT-FS980M/18-50 (L3) 16x100Мбит/с 2xКомбо(1000BASE-T/SFP) управляемый</t>
        </is>
      </c>
      <c r="E2565" s="2">
        <v>2</v>
      </c>
      <c r="F2565" s="2">
        <v>2</v>
      </c>
      <c r="H2565" s="2">
        <v>443</v>
      </c>
      <c r="I2565" s="2" t="inlineStr">
        <is>
          <t>$</t>
        </is>
      </c>
      <c r="J2565" s="2">
        <f>HYPERLINK("https://app.astro.lead-studio.pro/product/8a41d02a-37bd-4b4e-8ed2-c70fbaab8598")</f>
      </c>
    </row>
    <row r="2566" spans="1:10" customHeight="0">
      <c r="A2566" s="2" t="inlineStr">
        <is>
          <t>Cетевое оборудование</t>
        </is>
      </c>
      <c r="B2566" s="2" t="inlineStr">
        <is>
          <t>ALLIED TELESIS</t>
        </is>
      </c>
      <c r="C2566" s="2" t="inlineStr">
        <is>
          <t>AT-FS980M/18PS-50</t>
        </is>
      </c>
      <c r="D2566" s="2" t="inlineStr">
        <is>
          <t>Коммутатор Allied Telesis AT-FS980M/18PS-50 (L3) 16x100Мбит/с 2xКомбо(1000BASE-T/SFP) 16PoE+ 250W управляемый</t>
        </is>
      </c>
      <c r="E2566" s="2">
        <v>3</v>
      </c>
      <c r="F2566" s="2">
        <v>3</v>
      </c>
      <c r="H2566" s="2">
        <v>1032</v>
      </c>
      <c r="I2566" s="2" t="inlineStr">
        <is>
          <t>$</t>
        </is>
      </c>
      <c r="J2566" s="2">
        <f>HYPERLINK("https://app.astro.lead-studio.pro/product/9872f90c-cc27-4ec7-8cea-d61f0ce71326")</f>
      </c>
    </row>
    <row r="2567" spans="1:10" customHeight="0">
      <c r="A2567" s="2" t="inlineStr">
        <is>
          <t>Cетевое оборудование</t>
        </is>
      </c>
      <c r="B2567" s="2" t="inlineStr">
        <is>
          <t>ALLIED TELESIS</t>
        </is>
      </c>
      <c r="C2567" s="2" t="inlineStr">
        <is>
          <t>AT-FS980M/28PS-50</t>
        </is>
      </c>
      <c r="D2567" s="2" t="inlineStr">
        <is>
          <t>Коммутатор Allied Telesis AT-FS980M/28PS-50 (L3) 24x100Мбит/с 24PoE 12PoE+ 375W управляемый</t>
        </is>
      </c>
      <c r="E2567" s="2">
        <v>2</v>
      </c>
      <c r="F2567" s="2">
        <v>2</v>
      </c>
      <c r="H2567" s="2">
        <v>1157</v>
      </c>
      <c r="I2567" s="2" t="inlineStr">
        <is>
          <t>$</t>
        </is>
      </c>
      <c r="J2567" s="2">
        <f>HYPERLINK("https://app.astro.lead-studio.pro/product/aa750638-e25a-4b84-b3d7-84fa9146d37b")</f>
      </c>
    </row>
    <row r="2568" spans="1:10" customHeight="0">
      <c r="A2568" s="2" t="inlineStr">
        <is>
          <t>Cетевое оборудование</t>
        </is>
      </c>
      <c r="B2568" s="2" t="inlineStr">
        <is>
          <t>ALLIED TELESIS</t>
        </is>
      </c>
      <c r="C2568" s="2" t="inlineStr">
        <is>
          <t>AT-GS950/16-50</t>
        </is>
      </c>
      <c r="D2568" s="2" t="inlineStr">
        <is>
          <t>Коммутатор Allied Telesis AT-GS950/16-50 (L2) 16x1Гбит/с 2xКомбо(1000BASE-T/SFP) управляемый</t>
        </is>
      </c>
      <c r="E2568" s="2">
        <v>2</v>
      </c>
      <c r="F2568" s="2">
        <v>2</v>
      </c>
      <c r="H2568" s="2">
        <v>441</v>
      </c>
      <c r="I2568" s="2" t="inlineStr">
        <is>
          <t>$</t>
        </is>
      </c>
      <c r="J2568" s="2">
        <f>HYPERLINK("https://app.astro.lead-studio.pro/product/a167bf1b-0af8-4526-bcbb-d588e80a00cf")</f>
      </c>
    </row>
    <row r="2569" spans="1:10" customHeight="0">
      <c r="A2569" s="2" t="inlineStr">
        <is>
          <t>Cетевое оборудование</t>
        </is>
      </c>
      <c r="B2569" s="2" t="inlineStr">
        <is>
          <t>ALLIED TELESIS</t>
        </is>
      </c>
      <c r="C2569" s="2" t="inlineStr">
        <is>
          <t>AT-GS950/48-50</t>
        </is>
      </c>
      <c r="D2569" s="2" t="inlineStr">
        <is>
          <t>Коммутатор Allied Telesis AT-GS950/48-50 (L2) 48x1Гбит/с 4xКомбо(1000BASE-T/SFP) управляемый</t>
        </is>
      </c>
      <c r="E2569" s="2">
        <v>4</v>
      </c>
      <c r="F2569" s="2">
        <v>4</v>
      </c>
      <c r="H2569" s="2">
        <v>932</v>
      </c>
      <c r="I2569" s="2" t="inlineStr">
        <is>
          <t>$</t>
        </is>
      </c>
      <c r="J2569" s="2">
        <f>HYPERLINK("https://app.astro.lead-studio.pro/product/e6488308-069c-49ef-8706-4f732863d13e")</f>
      </c>
    </row>
    <row r="2570" spans="1:10" customHeight="0">
      <c r="A2570" s="2" t="inlineStr">
        <is>
          <t>Cетевое оборудование</t>
        </is>
      </c>
      <c r="B2570" s="2" t="inlineStr">
        <is>
          <t>ALLIED TELESIS</t>
        </is>
      </c>
      <c r="C2570" s="2" t="inlineStr">
        <is>
          <t>AT-GS910/24-50</t>
        </is>
      </c>
      <c r="D2570" s="2" t="inlineStr">
        <is>
          <t>Коммутатор Allied Telesis AT-GS910/24-50 (L2) 24x1Гбит/с неуправляемый</t>
        </is>
      </c>
      <c r="E2570" s="2">
        <v>9</v>
      </c>
      <c r="F2570" s="2">
        <v>9</v>
      </c>
      <c r="H2570" s="2">
        <v>377</v>
      </c>
      <c r="I2570" s="2" t="inlineStr">
        <is>
          <t>$</t>
        </is>
      </c>
      <c r="J2570" s="2">
        <f>HYPERLINK("https://app.astro.lead-studio.pro/product/3051e025-3524-4228-9117-c45289c6c5f6")</f>
      </c>
    </row>
    <row r="2571" spans="1:10" customHeight="0">
      <c r="A2571" s="2" t="inlineStr">
        <is>
          <t>Cетевое оборудование</t>
        </is>
      </c>
      <c r="B2571" s="2" t="inlineStr">
        <is>
          <t>ALLIED TELESIS</t>
        </is>
      </c>
      <c r="C2571" s="2" t="inlineStr">
        <is>
          <t>AT-GS950/28PSV2-50</t>
        </is>
      </c>
      <c r="D2571" s="2" t="inlineStr">
        <is>
          <t>Коммутатор Allied Telesis AT-GS950/28PS AT-GS950/28PSV2-50 (L2) 24x1Гбит/с 4xКомбо(1000BASE-T/SFP) 24PoE 6PoE+ 185W управляемый</t>
        </is>
      </c>
      <c r="E2571" s="2">
        <v>3</v>
      </c>
      <c r="F2571" s="2">
        <v>3</v>
      </c>
      <c r="H2571" s="2">
        <v>857</v>
      </c>
      <c r="I2571" s="2" t="inlineStr">
        <is>
          <t>$</t>
        </is>
      </c>
      <c r="J2571" s="2">
        <f>HYPERLINK("https://app.astro.lead-studio.pro/product/8a1b65b1-9ff5-426f-9cb1-cb34b9182b30")</f>
      </c>
    </row>
    <row r="2572" spans="1:10" customHeight="0">
      <c r="A2572" s="2" t="inlineStr">
        <is>
          <t>Cетевое оборудование</t>
        </is>
      </c>
      <c r="B2572" s="2" t="inlineStr">
        <is>
          <t>ALLIED TELESIS</t>
        </is>
      </c>
      <c r="C2572" s="2" t="inlineStr">
        <is>
          <t>AT-FS750/28PS-50</t>
        </is>
      </c>
      <c r="D2572" s="2" t="inlineStr">
        <is>
          <t>Коммутатор Allied Telesis AT-FS750/28PS-50 (L2) 24x100Мбит/с 2x1Гбит/с 2xКомбо(1000BASE-T/SFP) 24PoE 4PoE+ 193W настраиваемый</t>
        </is>
      </c>
      <c r="E2572" s="2">
        <v>8</v>
      </c>
      <c r="F2572" s="2">
        <v>8</v>
      </c>
      <c r="H2572" s="2">
        <v>739</v>
      </c>
      <c r="I2572" s="2" t="inlineStr">
        <is>
          <t>$</t>
        </is>
      </c>
      <c r="J2572" s="2">
        <f>HYPERLINK("https://app.astro.lead-studio.pro/product/0489473f-b67b-4ecb-a11f-322a84ced1a2")</f>
      </c>
    </row>
    <row r="2573" spans="1:10" customHeight="0">
      <c r="A2573" s="2" t="inlineStr">
        <is>
          <t>Cетевое оборудование</t>
        </is>
      </c>
      <c r="B2573" s="2" t="inlineStr">
        <is>
          <t>ALLIED TELESIS</t>
        </is>
      </c>
      <c r="C2573" s="2" t="inlineStr">
        <is>
          <t>AT-MMC2000/SC-960</t>
        </is>
      </c>
      <c r="D2573" s="2" t="inlineStr">
        <is>
          <t>Медиаконвертер Allied Telesis AT-MMC2000/SC-960 TAA Federal 10/100/1000T to 1000SX/SC MM Multi-region PSU</t>
        </is>
      </c>
      <c r="E2573" s="2">
        <v>9</v>
      </c>
      <c r="F2573" s="2">
        <v>9</v>
      </c>
      <c r="H2573" s="2">
        <v>422</v>
      </c>
      <c r="I2573" s="2" t="inlineStr">
        <is>
          <t>$</t>
        </is>
      </c>
      <c r="J2573" s="2">
        <f>HYPERLINK("https://app.astro.lead-studio.pro/product/790b334b-3119-46dd-b537-efb441b59b06")</f>
      </c>
    </row>
    <row r="2574" spans="1:10" customHeight="0">
      <c r="A2574" s="2" t="inlineStr">
        <is>
          <t>Cетевое оборудование</t>
        </is>
      </c>
      <c r="B2574" s="2" t="inlineStr">
        <is>
          <t>ALLIED TELESIS</t>
        </is>
      </c>
      <c r="C2574" s="2" t="inlineStr">
        <is>
          <t>AT-MMC2000/SP-960</t>
        </is>
      </c>
      <c r="D2574" s="2" t="inlineStr">
        <is>
          <t>Медиаконвертер Allied Telesis AT-MMC2000/SP-960 TAA Federal 10/100/1000T to 1000SX/SC MM Multi-region PSU</t>
        </is>
      </c>
      <c r="E2574" s="2">
        <v>1</v>
      </c>
      <c r="F2574" s="2">
        <v>1</v>
      </c>
      <c r="H2574" s="2">
        <v>362</v>
      </c>
      <c r="I2574" s="2" t="inlineStr">
        <is>
          <t>$</t>
        </is>
      </c>
      <c r="J2574" s="2">
        <f>HYPERLINK("https://app.astro.lead-studio.pro/product/d0230195-e63d-4b09-a654-bbebdcc48b59")</f>
      </c>
    </row>
    <row r="2575" spans="1:10" customHeight="0">
      <c r="A2575" s="2" t="inlineStr">
        <is>
          <t>Cетевое оборудование</t>
        </is>
      </c>
      <c r="B2575" s="2" t="inlineStr">
        <is>
          <t>ALLIED TELESIS</t>
        </is>
      </c>
      <c r="C2575" s="2" t="inlineStr">
        <is>
          <t>AT-MMC200LX/SC-960</t>
        </is>
      </c>
      <c r="D2575" s="2" t="inlineStr">
        <is>
          <t>Медиаконвертер Allied Telesis AT-MMC200LX/SC-960</t>
        </is>
      </c>
      <c r="E2575" s="2">
        <v>1</v>
      </c>
      <c r="F2575" s="2">
        <v>1</v>
      </c>
      <c r="H2575" s="2">
        <v>426</v>
      </c>
      <c r="I2575" s="2" t="inlineStr">
        <is>
          <t>$</t>
        </is>
      </c>
      <c r="J2575" s="2">
        <f>HYPERLINK("https://app.astro.lead-studio.pro/product/7d224ebb-d8a8-4ae2-be34-36b3b4858797")</f>
      </c>
    </row>
    <row r="2576" spans="1:10" customHeight="0">
      <c r="A2576" s="2" t="inlineStr">
        <is>
          <t>Cетевое оборудование</t>
        </is>
      </c>
      <c r="B2576" s="2" t="inlineStr">
        <is>
          <t>ALLIED TELESIS</t>
        </is>
      </c>
      <c r="C2576" s="2" t="inlineStr">
        <is>
          <t>AT-MMCR18-60</t>
        </is>
      </c>
      <c r="D2576" s="2" t="inlineStr">
        <is>
          <t>Шасси Allied Telesis AT-MMCR18-60</t>
        </is>
      </c>
      <c r="E2576" s="2">
        <v>2</v>
      </c>
      <c r="F2576" s="2">
        <v>1</v>
      </c>
      <c r="H2576" s="2">
        <v>1006</v>
      </c>
      <c r="I2576" s="2" t="inlineStr">
        <is>
          <t>$</t>
        </is>
      </c>
      <c r="J2576" s="2">
        <f>HYPERLINK("https://app.astro.lead-studio.pro/product/33b820a1-2e89-4182-947b-94cbb1f4635f")</f>
      </c>
    </row>
    <row r="2577" spans="1:10" customHeight="0">
      <c r="A2577" s="2" t="inlineStr">
        <is>
          <t>Серверные опции</t>
        </is>
      </c>
      <c r="B2577" s="2" t="inlineStr">
        <is>
          <t>HPE</t>
        </is>
      </c>
      <c r="C2577" s="2" t="inlineStr">
        <is>
          <t>Q6Q64A</t>
        </is>
      </c>
      <c r="D2577" s="2" t="inlineStr">
        <is>
          <t>Блок Питания HPE StoreEver MSL3040 Redundant Power Supply Upgrade KIT (Q6Q64A)</t>
        </is>
      </c>
      <c r="E2577" s="2">
        <v>9</v>
      </c>
      <c r="F2577" s="2">
        <v>9</v>
      </c>
      <c r="H2577" s="2">
        <v>554</v>
      </c>
      <c r="I2577" s="2" t="inlineStr">
        <is>
          <t>$</t>
        </is>
      </c>
      <c r="J2577" s="2">
        <f>HYPERLINK("https://app.astro.lead-studio.pro/product/9a5ab77e-782f-49a1-8377-d8a4f511dc39")</f>
      </c>
    </row>
    <row r="2578" spans="1:10" customHeight="0">
      <c r="A2578" s="2" t="inlineStr">
        <is>
          <t>Телефония</t>
        </is>
      </c>
      <c r="B2578" s="2" t="inlineStr">
        <is>
          <t>UNIFY COMMUNICATIONS</t>
        </is>
      </c>
      <c r="C2578" s="2" t="inlineStr">
        <is>
          <t>L30250-F600-C518</t>
        </is>
      </c>
      <c r="D2578" s="2" t="inlineStr">
        <is>
          <t>Р/Телефон Dect Unify OpenScape SL6 серебристый</t>
        </is>
      </c>
      <c r="E2578" s="2">
        <v>5</v>
      </c>
      <c r="F2578" s="2">
        <v>5</v>
      </c>
      <c r="H2578" s="2">
        <v>374</v>
      </c>
      <c r="I2578" s="2" t="inlineStr">
        <is>
          <t>$</t>
        </is>
      </c>
      <c r="J2578" s="2">
        <f>HYPERLINK("https://app.astro.lead-studio.pro/product/cc51fc8b-6d8b-4910-b1be-37dfb5d9552a")</f>
      </c>
    </row>
    <row r="2579" spans="1:10" customHeight="0">
      <c r="A2579" s="2" t="inlineStr">
        <is>
          <t>Телефония</t>
        </is>
      </c>
      <c r="B2579" s="2" t="inlineStr">
        <is>
          <t>UNIFY COMMUNICATIONS</t>
        </is>
      </c>
      <c r="C2579" s="2" t="inlineStr">
        <is>
          <t>L30280-F600-A221</t>
        </is>
      </c>
      <c r="D2579" s="2" t="inlineStr">
        <is>
          <t>Модуль Unify L30280-F600-A221 OpenScape Cordless IP V2 - Base Station BSIP2</t>
        </is>
      </c>
      <c r="E2579" s="2">
        <v>54</v>
      </c>
      <c r="F2579" s="2">
        <v>54</v>
      </c>
      <c r="H2579" s="2">
        <v>973</v>
      </c>
      <c r="I2579" s="2" t="inlineStr">
        <is>
          <t>$</t>
        </is>
      </c>
      <c r="J2579" s="2">
        <f>HYPERLINK("https://app.astro.lead-studio.pro/product/12557586-054d-45b2-8a48-56603178d18b")</f>
      </c>
    </row>
    <row r="2580" spans="1:10" customHeight="0">
      <c r="A2580" s="2" t="inlineStr">
        <is>
          <t>Системы хранения данных (СХД)</t>
        </is>
      </c>
      <c r="B2580" s="2" t="inlineStr">
        <is>
          <t>HPE</t>
        </is>
      </c>
      <c r="C2580" s="2" t="inlineStr">
        <is>
          <t>N7P37A</t>
        </is>
      </c>
      <c r="D2580" s="2" t="inlineStr">
        <is>
          <t>Ленточный накопитель HPE StoreEver MSL LTO-7 Ultrium 15000 SAS (N7P37A)</t>
        </is>
      </c>
      <c r="E2580" s="2">
        <v>2</v>
      </c>
      <c r="F2580" s="2">
        <v>2</v>
      </c>
      <c r="H2580" s="2">
        <v>6086</v>
      </c>
      <c r="I2580" s="2" t="inlineStr">
        <is>
          <t>$</t>
        </is>
      </c>
      <c r="J2580" s="2">
        <f>HYPERLINK("https://app.astro.lead-studio.pro/product/861f3228-70ec-4651-a82c-c87d17265dfc")</f>
      </c>
    </row>
    <row r="2581" spans="1:10" customHeight="0">
      <c r="A2581" s="2" t="inlineStr">
        <is>
          <t>Серверные опции</t>
        </is>
      </c>
      <c r="B2581" s="2" t="inlineStr">
        <is>
          <t>HPE</t>
        </is>
      </c>
      <c r="C2581" s="2" t="inlineStr">
        <is>
          <t>P00930-B21</t>
        </is>
      </c>
      <c r="D2581" s="2" t="inlineStr">
        <is>
          <t>Память DDR4 HPE P00930-B21 64Gb RDIMM Reg PC4-2933Y-R CL21 2933MHz</t>
        </is>
      </c>
      <c r="E2581" s="2">
        <v>20</v>
      </c>
      <c r="F2581" s="2">
        <v>20</v>
      </c>
      <c r="H2581" s="2">
        <v>350</v>
      </c>
      <c r="I2581" s="2" t="inlineStr">
        <is>
          <t>$</t>
        </is>
      </c>
      <c r="J2581" s="2">
        <f>HYPERLINK("https://app.astro.lead-studio.pro/product/6a0bd4fe-0260-427e-97f1-73b5efa5390d")</f>
      </c>
    </row>
    <row r="2582" spans="1:10" customHeight="0">
      <c r="A2582" s="2" t="inlineStr">
        <is>
          <t>Процессоры</t>
        </is>
      </c>
      <c r="B2582" s="2" t="inlineStr">
        <is>
          <t>INTEL</t>
        </is>
      </c>
      <c r="C2582" s="2" t="inlineStr">
        <is>
          <t>CM8071504820706 SRMB9</t>
        </is>
      </c>
      <c r="D2582" s="2" t="inlineStr">
        <is>
          <t>Процессор Intel Core i7 13700KF Soc-1700 (CM8071504820706 SRMB9) (3.4GHz) OEM</t>
        </is>
      </c>
      <c r="E2582" s="2">
        <v>117</v>
      </c>
      <c r="F2582" s="2">
        <v>98</v>
      </c>
      <c r="H2582" s="2">
        <v>376</v>
      </c>
      <c r="I2582" s="2" t="inlineStr">
        <is>
          <t>$</t>
        </is>
      </c>
      <c r="J2582" s="2">
        <f>HYPERLINK("https://app.astro.lead-studio.pro/product/6f709c21-f5bd-4c31-962a-f9fab0199044")</f>
      </c>
    </row>
    <row r="2583" spans="1:10" customHeight="0">
      <c r="A2583" s="2" t="inlineStr">
        <is>
          <t>Процессоры</t>
        </is>
      </c>
      <c r="B2583" s="2" t="inlineStr">
        <is>
          <t>INTEL</t>
        </is>
      </c>
      <c r="C2583" s="2" t="inlineStr">
        <is>
          <t>CM8071504820705 SRMB8</t>
        </is>
      </c>
      <c r="D2583" s="2" t="inlineStr">
        <is>
          <t>Процессор Intel Core i7 13700K Soc-1700 (CM8071504820705 SRMB8) (3.4GHz/Intel UHD Graphics 770) OEM</t>
        </is>
      </c>
      <c r="E2583" s="2">
        <v>157</v>
      </c>
      <c r="F2583" s="2">
        <v>157</v>
      </c>
      <c r="H2583" s="2">
        <v>414</v>
      </c>
      <c r="I2583" s="2" t="inlineStr">
        <is>
          <t>$</t>
        </is>
      </c>
      <c r="J2583" s="2">
        <f>HYPERLINK("https://app.astro.lead-studio.pro/product/91865014-bdec-4a7a-826c-3919206f869d")</f>
      </c>
    </row>
    <row r="2584" spans="1:10" customHeight="0">
      <c r="A2584" s="2" t="inlineStr">
        <is>
          <t>Процессоры</t>
        </is>
      </c>
      <c r="B2584" s="2" t="inlineStr">
        <is>
          <t>AMD</t>
        </is>
      </c>
      <c r="C2584" s="2" t="inlineStr">
        <is>
          <t>100-000000591</t>
        </is>
      </c>
      <c r="D2584" s="2" t="inlineStr">
        <is>
          <t>Процессор AMD Ryzen 7 7700X AM5 (100-000000591) (4.5GHz/AMD Radeon) OEM</t>
        </is>
      </c>
      <c r="E2584" s="2">
        <v>100</v>
      </c>
      <c r="F2584" s="2">
        <v>96</v>
      </c>
      <c r="H2584" s="2">
        <v>368</v>
      </c>
      <c r="I2584" s="2" t="inlineStr">
        <is>
          <t>$</t>
        </is>
      </c>
      <c r="J2584" s="2">
        <f>HYPERLINK("https://app.astro.lead-studio.pro/product/313186ce-c451-4d97-b55e-d728e98a0b3c")</f>
      </c>
    </row>
    <row r="2585" spans="1:10" customHeight="0">
      <c r="A2585" s="2" t="inlineStr">
        <is>
          <t>Процессоры</t>
        </is>
      </c>
      <c r="B2585" s="2" t="inlineStr">
        <is>
          <t>AMD</t>
        </is>
      </c>
      <c r="C2585" s="2" t="inlineStr">
        <is>
          <t>100-000000589</t>
        </is>
      </c>
      <c r="D2585" s="2" t="inlineStr">
        <is>
          <t>Процессор AMD Ryzen 9 7900X AM5 (100-000000589) (4.7GHz/AMD Radeon) OEM</t>
        </is>
      </c>
      <c r="E2585" s="2">
        <v>111</v>
      </c>
      <c r="F2585" s="2">
        <v>110</v>
      </c>
      <c r="H2585" s="2">
        <v>468</v>
      </c>
      <c r="I2585" s="2" t="inlineStr">
        <is>
          <t>$</t>
        </is>
      </c>
      <c r="J2585" s="2">
        <f>HYPERLINK("https://app.astro.lead-studio.pro/product/2528278c-eb79-41fa-b05d-3eca2b281136")</f>
      </c>
    </row>
    <row r="2586" spans="1:10" customHeight="0">
      <c r="A2586" s="2" t="inlineStr">
        <is>
          <t>Процессоры</t>
        </is>
      </c>
      <c r="B2586" s="2" t="inlineStr">
        <is>
          <t>AMD</t>
        </is>
      </c>
      <c r="C2586" s="2" t="inlineStr">
        <is>
          <t>100-000000514</t>
        </is>
      </c>
      <c r="D2586" s="2" t="inlineStr">
        <is>
          <t>Процессор AMD Ryzen 9 7950X AM5 (100-000000514) (4.5GHz/AMD Radeon) OEM</t>
        </is>
      </c>
      <c r="E2586" s="2">
        <v>131</v>
      </c>
      <c r="F2586" s="2">
        <v>129</v>
      </c>
      <c r="H2586" s="2">
        <v>631</v>
      </c>
      <c r="I2586" s="2" t="inlineStr">
        <is>
          <t>$</t>
        </is>
      </c>
      <c r="J2586" s="2">
        <f>HYPERLINK("https://app.astro.lead-studio.pro/product/6d7dbb51-57f7-4edc-9157-12d04b562b71")</f>
      </c>
    </row>
    <row r="2587" spans="1:10" customHeight="0">
      <c r="A2587" s="2" t="inlineStr">
        <is>
          <t>Системы хранения данных (СХД)</t>
        </is>
      </c>
      <c r="B2587" s="2" t="inlineStr">
        <is>
          <t>HPE</t>
        </is>
      </c>
      <c r="C2587" s="2" t="inlineStr">
        <is>
          <t>Q6Q63A</t>
        </is>
      </c>
      <c r="D2587" s="2" t="inlineStr">
        <is>
          <t>Ленточный накопитель HPE StoreEver MSL Scalable Library Expansion Module (Q6Q63A)</t>
        </is>
      </c>
      <c r="E2587" s="2">
        <v>2</v>
      </c>
      <c r="F2587" s="2">
        <v>2</v>
      </c>
      <c r="H2587" s="2">
        <v>5229</v>
      </c>
      <c r="I2587" s="2" t="inlineStr">
        <is>
          <t>$</t>
        </is>
      </c>
      <c r="J2587" s="2">
        <f>HYPERLINK("https://app.astro.lead-studio.pro/product/5b0f0451-7b8c-41bb-9fe6-f9a309b64bad")</f>
      </c>
    </row>
    <row r="2588" spans="1:10" customHeight="0">
      <c r="A2588" s="2" t="inlineStr">
        <is>
          <t>Серверные опции</t>
        </is>
      </c>
      <c r="B2588" s="2" t="inlineStr">
        <is>
          <t>HPE</t>
        </is>
      </c>
      <c r="C2588" s="2" t="inlineStr">
        <is>
          <t>C8R25B</t>
        </is>
      </c>
      <c r="D2588" s="2" t="inlineStr">
        <is>
          <t>Трансивер HPE C8R25B 10Gb SR iSCSI SFP+ 4pack XCVR MSA 2060/2062/1060/2050</t>
        </is>
      </c>
      <c r="E2588" s="2">
        <v>8</v>
      </c>
      <c r="F2588" s="2">
        <v>8</v>
      </c>
      <c r="H2588" s="2">
        <v>339</v>
      </c>
      <c r="I2588" s="2" t="inlineStr">
        <is>
          <t>$</t>
        </is>
      </c>
      <c r="J2588" s="2">
        <f>HYPERLINK("https://app.astro.lead-studio.pro/product/6e7cd681-a328-4061-8693-0acf3dc1663b")</f>
      </c>
    </row>
    <row r="2589" spans="1:10" customHeight="0">
      <c r="A2589" s="2" t="inlineStr">
        <is>
          <t>Cетевое оборудование</t>
        </is>
      </c>
      <c r="B2589" s="2" t="inlineStr">
        <is>
          <t>UBIQUITI</t>
        </is>
      </c>
      <c r="C2589" s="2" t="inlineStr">
        <is>
          <t>LTU-ROCKET</t>
        </is>
      </c>
      <c r="D2589" s="2" t="inlineStr">
        <is>
          <t>Точка доступа Ubiquiti Rocket LTU (LTU-ROCKET) 10/100/1000BASE-TX белый</t>
        </is>
      </c>
      <c r="E2589" s="2">
        <v>1</v>
      </c>
      <c r="F2589" s="2">
        <v>1</v>
      </c>
      <c r="H2589" s="2">
        <v>646</v>
      </c>
      <c r="I2589" s="2" t="inlineStr">
        <is>
          <t>$</t>
        </is>
      </c>
      <c r="J2589" s="2">
        <f>HYPERLINK("https://app.astro.lead-studio.pro/product/c07b5fbb-8f6c-4102-be36-e1a7a6478b8b")</f>
      </c>
    </row>
    <row r="2590" spans="1:10" customHeight="0">
      <c r="A2590" s="2" t="inlineStr">
        <is>
          <t>Процессоры</t>
        </is>
      </c>
      <c r="B2590" s="2" t="inlineStr">
        <is>
          <t>INTEL</t>
        </is>
      </c>
      <c r="C2590" s="2" t="inlineStr">
        <is>
          <t>CM8071505094011 SRMBH</t>
        </is>
      </c>
      <c r="D2590" s="2" t="inlineStr">
        <is>
          <t>Процессор Intel Core i9 13900K Soc-1700 (CM8071505094011 SRMBH) (3GHz/Intel UHD Graphics 770) OEM</t>
        </is>
      </c>
      <c r="E2590" s="2">
        <v>29</v>
      </c>
      <c r="F2590" s="2">
        <v>20</v>
      </c>
      <c r="H2590" s="2">
        <v>582</v>
      </c>
      <c r="I2590" s="2" t="inlineStr">
        <is>
          <t>$</t>
        </is>
      </c>
      <c r="J2590" s="2">
        <f>HYPERLINK("https://app.astro.lead-studio.pro/product/5a40c1dc-07e8-4ed1-9b0a-a78b1c515d43")</f>
      </c>
    </row>
    <row r="2591" spans="1:10" customHeight="0">
      <c r="A2591" s="2" t="inlineStr">
        <is>
          <t>Процессоры</t>
        </is>
      </c>
      <c r="B2591" s="2" t="inlineStr">
        <is>
          <t>INTEL</t>
        </is>
      </c>
      <c r="C2591" s="2" t="inlineStr">
        <is>
          <t>CM8071505094012 SRMBJ</t>
        </is>
      </c>
      <c r="D2591" s="2" t="inlineStr">
        <is>
          <t>Процессор Intel Core i9 13900KF Soc-1700 (CM8071505094012 SRMBJ) (3GHz) OEM</t>
        </is>
      </c>
      <c r="E2591" s="2">
        <v>9</v>
      </c>
      <c r="F2591" s="2">
        <v>8</v>
      </c>
      <c r="H2591" s="2">
        <v>552</v>
      </c>
      <c r="I2591" s="2" t="inlineStr">
        <is>
          <t>$</t>
        </is>
      </c>
      <c r="J2591" s="2">
        <f>HYPERLINK("https://app.astro.lead-studio.pro/product/c32f620a-524d-4628-a415-42d0832350f9")</f>
      </c>
    </row>
    <row r="2592" spans="1:10" customHeight="0">
      <c r="A2592" s="2" t="inlineStr">
        <is>
          <t>Серверные опции</t>
        </is>
      </c>
      <c r="B2592" s="2" t="inlineStr">
        <is>
          <t>INTEL</t>
        </is>
      </c>
      <c r="C2592" s="2" t="inlineStr">
        <is>
          <t>CD8067303406200</t>
        </is>
      </c>
      <c r="D2592" s="2" t="inlineStr">
        <is>
          <t>Процессор Intel Xeon Gold 6148 27.5Mb 2.4Ghz (CD8067303406200)</t>
        </is>
      </c>
      <c r="E2592" s="2">
        <v>19</v>
      </c>
      <c r="F2592" s="2">
        <v>13</v>
      </c>
      <c r="H2592" s="2">
        <v>685</v>
      </c>
      <c r="I2592" s="2" t="inlineStr">
        <is>
          <t>$</t>
        </is>
      </c>
      <c r="J2592" s="2">
        <f>HYPERLINK("https://app.astro.lead-studio.pro/product/021ee98e-ed80-45a2-b415-c960acd372ff")</f>
      </c>
    </row>
    <row r="2593" spans="1:10" customHeight="0">
      <c r="A2593" s="2" t="inlineStr">
        <is>
          <t>Процессоры</t>
        </is>
      </c>
      <c r="B2593" s="2" t="inlineStr">
        <is>
          <t>INTEL</t>
        </is>
      </c>
      <c r="C2593" s="2" t="inlineStr">
        <is>
          <t>CM8071504820805 SRMBA</t>
        </is>
      </c>
      <c r="D2593" s="2" t="inlineStr">
        <is>
          <t>Процессор Intel Core i7 13700 Soc-1700 (CM8071504820805 SRMBA) (2.1GHz/Intel UHD Graphics 770) OEM</t>
        </is>
      </c>
      <c r="E2593" s="2">
        <v>41</v>
      </c>
      <c r="F2593" s="2">
        <v>34</v>
      </c>
      <c r="H2593" s="2">
        <v>424</v>
      </c>
      <c r="I2593" s="2" t="inlineStr">
        <is>
          <t>$</t>
        </is>
      </c>
      <c r="J2593" s="2">
        <f>HYPERLINK("https://app.astro.lead-studio.pro/product/3bef5755-7727-4df8-ac24-c1c6a2d2eb98")</f>
      </c>
    </row>
    <row r="2594" spans="1:10" customHeight="0">
      <c r="A2594" s="2" t="inlineStr">
        <is>
          <t>Процессоры</t>
        </is>
      </c>
      <c r="B2594" s="2" t="inlineStr">
        <is>
          <t>INTEL</t>
        </is>
      </c>
      <c r="C2594" s="2" t="inlineStr">
        <is>
          <t>CM8071504820806 SRMBB</t>
        </is>
      </c>
      <c r="D2594" s="2" t="inlineStr">
        <is>
          <t>Процессор Intel Core i7 13700F Soc-1700 (CM8071504820806 SRMBB) (2.1GHz) OEM</t>
        </is>
      </c>
      <c r="E2594" s="2">
        <v>36</v>
      </c>
      <c r="F2594" s="2">
        <v>18</v>
      </c>
      <c r="H2594" s="2">
        <v>355</v>
      </c>
      <c r="I2594" s="2" t="inlineStr">
        <is>
          <t>$</t>
        </is>
      </c>
      <c r="J2594" s="2">
        <f>HYPERLINK("https://app.astro.lead-studio.pro/product/f90b80f3-df87-4b66-a559-be71c5d9e163")</f>
      </c>
    </row>
    <row r="2595" spans="1:10" customHeight="0">
      <c r="A2595" s="2" t="inlineStr">
        <is>
          <t>Процессоры</t>
        </is>
      </c>
      <c r="B2595" s="2" t="inlineStr">
        <is>
          <t>INTEL</t>
        </is>
      </c>
      <c r="C2595" s="2" t="inlineStr">
        <is>
          <t>CM8071504820605 SRMB6</t>
        </is>
      </c>
      <c r="D2595" s="2" t="inlineStr">
        <is>
          <t>Процессор Intel Core i9 13900 Soc-1700 (CM8071504820605 SRMB6) (2GHz/Intel UHD Graphics 770) OEM</t>
        </is>
      </c>
      <c r="E2595" s="2">
        <v>10</v>
      </c>
      <c r="F2595" s="2">
        <v>10</v>
      </c>
      <c r="H2595" s="2">
        <v>612</v>
      </c>
      <c r="I2595" s="2" t="inlineStr">
        <is>
          <t>$</t>
        </is>
      </c>
      <c r="J2595" s="2">
        <f>HYPERLINK("https://app.astro.lead-studio.pro/product/c9852dc6-94c3-4230-aebf-ef22b31b2ae2")</f>
      </c>
    </row>
    <row r="2596" spans="1:10" customHeight="0">
      <c r="A2596" s="2" t="inlineStr">
        <is>
          <t>Серверы</t>
        </is>
      </c>
      <c r="B2596" s="2" t="inlineStr">
        <is>
          <t>SUPERCLOUD</t>
        </is>
      </c>
      <c r="C2596" s="2" t="inlineStr">
        <is>
          <t>F20230214N278853</t>
        </is>
      </c>
      <c r="D2596" s="2" t="inlineStr">
        <is>
          <t>Сервер SuperCloud R5210 G11 (X11DPI-N) 1x3204 1x16Gb x14 1x240Gb 2.5"/3.5" SAS/SATA U.2 NVMe C621+3108 iPMI 1G 2P 2x800W (F20230214N278853)</t>
        </is>
      </c>
      <c r="E2596" s="2">
        <v>1</v>
      </c>
      <c r="F2596" s="2">
        <v>1</v>
      </c>
      <c r="H2596" s="2">
        <v>3027</v>
      </c>
      <c r="I2596" s="2" t="inlineStr">
        <is>
          <t>$</t>
        </is>
      </c>
      <c r="J2596" s="2">
        <f>HYPERLINK("https://app.astro.lead-studio.pro/product/5a565fad-1dba-4b5b-851a-ff6d0aea5662")</f>
      </c>
    </row>
    <row r="2597" spans="1:10" customHeight="0">
      <c r="A2597" s="2" t="inlineStr">
        <is>
          <t>Серверные опции</t>
        </is>
      </c>
      <c r="B2597" s="2" t="inlineStr">
        <is>
          <t>HDS</t>
        </is>
      </c>
      <c r="C2597" s="2" t="inlineStr">
        <is>
          <t>5563489-A</t>
        </is>
      </c>
      <c r="D2597" s="2" t="inlineStr">
        <is>
          <t>Жесткий диск HDS 14TB SAS NL 7.2K 5563489-A Hot Swapp 3.5"</t>
        </is>
      </c>
      <c r="E2597" s="2">
        <v>4</v>
      </c>
      <c r="F2597" s="2">
        <v>4</v>
      </c>
      <c r="H2597" s="2">
        <v>2417</v>
      </c>
      <c r="I2597" s="2" t="inlineStr">
        <is>
          <t>$</t>
        </is>
      </c>
      <c r="J2597" s="2">
        <f>HYPERLINK("https://app.astro.lead-studio.pro/product/fccf7a4c-c476-4db2-8353-6d7bccb3b35e")</f>
      </c>
    </row>
    <row r="2598" spans="1:10" customHeight="0">
      <c r="A2598" s="2" t="inlineStr">
        <is>
          <t>Системы хранения данных (СХД)</t>
        </is>
      </c>
      <c r="B2598" s="2" t="inlineStr">
        <is>
          <t>HDS</t>
        </is>
      </c>
      <c r="C2598" s="2" t="inlineStr">
        <is>
          <t>3290735-A</t>
        </is>
      </c>
      <c r="D2598" s="2" t="inlineStr">
        <is>
          <t>Модуль HDS 3290735-A VSP BKM Controller for G200/G350/F350/G370/F370</t>
        </is>
      </c>
      <c r="E2598" s="2">
        <v>2</v>
      </c>
      <c r="F2598" s="2">
        <v>2</v>
      </c>
      <c r="H2598" s="2">
        <v>1770</v>
      </c>
      <c r="I2598" s="2" t="inlineStr">
        <is>
          <t>$</t>
        </is>
      </c>
      <c r="J2598" s="2">
        <f>HYPERLINK("https://app.astro.lead-studio.pro/product/c2f5d5ed-f876-4016-9bc9-5171d93932ae")</f>
      </c>
    </row>
    <row r="2599" spans="1:10" customHeight="0">
      <c r="A2599" s="2" t="inlineStr">
        <is>
          <t>Cетевое оборудование</t>
        </is>
      </c>
      <c r="B2599" s="2" t="inlineStr">
        <is>
          <t>HUAWEI</t>
        </is>
      </c>
      <c r="C2599" s="2" t="inlineStr">
        <is>
          <t>S12700E-4</t>
        </is>
      </c>
      <c r="D2599" s="2" t="inlineStr">
        <is>
          <t>Коммутатор Huawei ET1BS12704E0 02115869 S12700E-4 2xLST7MPUEC000/2xLST7SFUEX100/2xLST7X24BX6E0/4xPAC3KS54-NE/RAIL-02/4xSFP-10G-CU5M</t>
        </is>
      </c>
      <c r="E2599" s="2">
        <v>1</v>
      </c>
      <c r="F2599" s="2">
        <v>1</v>
      </c>
      <c r="H2599" s="2">
        <v>32049</v>
      </c>
      <c r="I2599" s="2" t="inlineStr">
        <is>
          <t>$</t>
        </is>
      </c>
      <c r="J2599" s="2">
        <f>HYPERLINK("https://app.astro.lead-studio.pro/product/d3b5f2f2-626d-4390-a0f5-d988d7449d74")</f>
      </c>
    </row>
    <row r="2600" spans="1:10" customHeight="0">
      <c r="A2600" s="2" t="inlineStr">
        <is>
          <t>Серверные опции</t>
        </is>
      </c>
      <c r="B2600" s="2" t="inlineStr">
        <is>
          <t>HPE</t>
        </is>
      </c>
      <c r="C2600" s="2" t="inlineStr">
        <is>
          <t>C8R24B</t>
        </is>
      </c>
      <c r="D2600" s="2" t="inlineStr">
        <is>
          <t>Трансивер HPE C8R24B 16Gb FC SW SFP XCVR MSA 2060/2050 4pack</t>
        </is>
      </c>
      <c r="E2600" s="2">
        <v>5</v>
      </c>
      <c r="F2600" s="2">
        <v>4</v>
      </c>
      <c r="H2600" s="2">
        <v>503</v>
      </c>
      <c r="I2600" s="2" t="inlineStr">
        <is>
          <t>$</t>
        </is>
      </c>
      <c r="J2600" s="2">
        <f>HYPERLINK("https://app.astro.lead-studio.pro/product/96c62a33-6480-4fa0-b456-45e407810fd2")</f>
      </c>
    </row>
    <row r="2601" spans="1:10" customHeight="0">
      <c r="A2601" s="2" t="inlineStr">
        <is>
          <t>Системы хранения данных (СХД)</t>
        </is>
      </c>
      <c r="B2601" s="2" t="inlineStr">
        <is>
          <t>FUJITSU</t>
        </is>
      </c>
      <c r="C2601" s="2" t="inlineStr">
        <is>
          <t>ETADB2F-L</t>
        </is>
      </c>
      <c r="D2601" s="2" t="inlineStr">
        <is>
          <t>Жесткий диск Fujitsu DX100 S5/DX200 S5/DX1/200S5 HD SAS 2.4Tb 10k 2.5 AF x1 (ETADB2F-L)</t>
        </is>
      </c>
      <c r="E2601" s="2">
        <v>1</v>
      </c>
      <c r="F2601" s="2">
        <v>1</v>
      </c>
      <c r="H2601" s="2">
        <v>590</v>
      </c>
      <c r="I2601" s="2" t="inlineStr">
        <is>
          <t>$</t>
        </is>
      </c>
      <c r="J2601" s="2">
        <f>HYPERLINK("https://app.astro.lead-studio.pro/product/a8057f7e-b017-4ecb-9943-ec4fe1675704")</f>
      </c>
    </row>
    <row r="2602" spans="1:10" customHeight="0">
      <c r="A2602" s="2" t="inlineStr">
        <is>
          <t>Системы хранения данных (СХД)</t>
        </is>
      </c>
      <c r="B2602" s="2" t="inlineStr">
        <is>
          <t>FUJITSU</t>
        </is>
      </c>
      <c r="C2602" s="2" t="inlineStr">
        <is>
          <t>ETANBJF-L</t>
        </is>
      </c>
      <c r="D2602" s="2" t="inlineStr">
        <is>
          <t>Жесткий диск Fujitsu DX100 S5/DX200 S5/DX1/200S5 HD NL 18Tb 7.2k 3.5 AF x1 (ETANBJF-L)</t>
        </is>
      </c>
      <c r="E2602" s="2">
        <v>7</v>
      </c>
      <c r="F2602" s="2">
        <v>7</v>
      </c>
      <c r="H2602" s="2">
        <v>919</v>
      </c>
      <c r="I2602" s="2" t="inlineStr">
        <is>
          <t>$</t>
        </is>
      </c>
      <c r="J2602" s="2">
        <f>HYPERLINK("https://app.astro.lead-studio.pro/product/05dafb25-5a2e-4b0e-bcc1-f5ef2a3c8ffa")</f>
      </c>
    </row>
    <row r="2603" spans="1:10" customHeight="0">
      <c r="A2603" s="2" t="inlineStr">
        <is>
          <t>Системы хранения данных (СХД)</t>
        </is>
      </c>
      <c r="B2603" s="2" t="inlineStr">
        <is>
          <t>FUJITSU</t>
        </is>
      </c>
      <c r="C2603" s="2" t="inlineStr">
        <is>
          <t>ETASAT1F-L</t>
        </is>
      </c>
      <c r="D2603" s="2" t="inlineStr">
        <is>
          <t>Жесткий диск Fujitsu AF250S3 Value SSD SAS 3.84TB 2.5 x1 (ETASAT1F-L)</t>
        </is>
      </c>
      <c r="E2603" s="2">
        <v>11</v>
      </c>
      <c r="F2603" s="2">
        <v>11</v>
      </c>
      <c r="H2603" s="2">
        <v>1563</v>
      </c>
      <c r="I2603" s="2" t="inlineStr">
        <is>
          <t>$</t>
        </is>
      </c>
      <c r="J2603" s="2">
        <f>HYPERLINK("https://app.astro.lead-studio.pro/product/021b32e1-ecea-4501-9bcf-a13b3288bf7f")</f>
      </c>
    </row>
    <row r="2604" spans="1:10" customHeight="0">
      <c r="A2604" s="2" t="inlineStr">
        <is>
          <t>Серверы</t>
        </is>
      </c>
      <c r="B2604" s="2" t="inlineStr">
        <is>
          <t>SUPERMICRO</t>
        </is>
      </c>
      <c r="C2604" s="2" t="inlineStr">
        <is>
          <t>SYS-6029TP-HTR</t>
        </is>
      </c>
      <c r="D2604" s="2" t="inlineStr">
        <is>
          <t>Платформа SuperMicro SYS-6029TP-HTR 3.5" С621 X710</t>
        </is>
      </c>
      <c r="E2604" s="2">
        <v>6</v>
      </c>
      <c r="F2604" s="2">
        <v>5</v>
      </c>
      <c r="H2604" s="2">
        <v>1992</v>
      </c>
      <c r="I2604" s="2" t="inlineStr">
        <is>
          <t>$</t>
        </is>
      </c>
      <c r="J2604" s="2">
        <f>HYPERLINK("https://app.astro.lead-studio.pro/product/7ee51ac7-9257-45e9-a6da-02fca3c28223")</f>
      </c>
    </row>
    <row r="2605" spans="1:10" customHeight="0">
      <c r="A2605" s="2" t="inlineStr">
        <is>
          <t>Системы хранения данных (СХД)</t>
        </is>
      </c>
      <c r="B2605" s="2" t="inlineStr">
        <is>
          <t>HPE</t>
        </is>
      </c>
      <c r="C2605" s="2" t="inlineStr">
        <is>
          <t>BC023A</t>
        </is>
      </c>
      <c r="D2605" s="2" t="inlineStr">
        <is>
          <t>Ленточный накопитель HPE StoreEver LTO-8 Ultrium 30750 External (BC023A)</t>
        </is>
      </c>
      <c r="E2605" s="2">
        <v>4</v>
      </c>
      <c r="F2605" s="2">
        <v>3</v>
      </c>
      <c r="H2605" s="2">
        <v>5861</v>
      </c>
      <c r="I2605" s="2" t="inlineStr">
        <is>
          <t>$</t>
        </is>
      </c>
      <c r="J2605" s="2">
        <f>HYPERLINK("https://app.astro.lead-studio.pro/product/b28deff4-defb-4b52-9924-789da620a4c1")</f>
      </c>
    </row>
    <row r="2606" spans="1:10" customHeight="0">
      <c r="A2606" s="2" t="inlineStr">
        <is>
          <t>Серверные опции</t>
        </is>
      </c>
      <c r="B2606" s="2" t="inlineStr">
        <is>
          <t>INTEL</t>
        </is>
      </c>
      <c r="C2606" s="2" t="inlineStr">
        <is>
          <t>CD8068904582501</t>
        </is>
      </c>
      <c r="D2606" s="2" t="inlineStr">
        <is>
          <t>Процессор Intel Xeon Gold 6330N 42Mb 2.2Ghz (CD8068904582501)</t>
        </is>
      </c>
      <c r="E2606" s="2">
        <v>14</v>
      </c>
      <c r="F2606" s="2">
        <v>14</v>
      </c>
      <c r="H2606" s="2">
        <v>2099</v>
      </c>
      <c r="I2606" s="2" t="inlineStr">
        <is>
          <t>$</t>
        </is>
      </c>
      <c r="J2606" s="2">
        <f>HYPERLINK("https://app.astro.lead-studio.pro/product/2e251750-8763-4bd2-97b8-639aee755bd0")</f>
      </c>
    </row>
    <row r="2607" spans="1:10" customHeight="0">
      <c r="A2607" s="2" t="inlineStr">
        <is>
          <t>Серверные опции</t>
        </is>
      </c>
      <c r="B2607" s="2" t="inlineStr">
        <is>
          <t>INTEL</t>
        </is>
      </c>
      <c r="C2607" s="2" t="inlineStr">
        <is>
          <t>CM8070804494716</t>
        </is>
      </c>
      <c r="D2607" s="2" t="inlineStr">
        <is>
          <t>Процессор Intel Xeon E-2386G 12Mb 3.5Ghz (CM8070804494716)</t>
        </is>
      </c>
      <c r="E2607" s="2">
        <v>8</v>
      </c>
      <c r="F2607" s="2">
        <v>7</v>
      </c>
      <c r="H2607" s="2">
        <v>674</v>
      </c>
      <c r="I2607" s="2" t="inlineStr">
        <is>
          <t>$</t>
        </is>
      </c>
      <c r="J2607" s="2">
        <f>HYPERLINK("https://app.astro.lead-studio.pro/product/8e5c5f24-4608-45ab-ab69-f95ff77d1740")</f>
      </c>
    </row>
    <row r="2608" spans="1:10" customHeight="0">
      <c r="A2608" s="2" t="inlineStr">
        <is>
          <t>Процессоры</t>
        </is>
      </c>
      <c r="B2608" s="2" t="inlineStr">
        <is>
          <t>AMD</t>
        </is>
      </c>
      <c r="C2608" s="2" t="inlineStr">
        <is>
          <t>100-100000061WOF</t>
        </is>
      </c>
      <c r="D2608" s="2" t="inlineStr">
        <is>
          <t>Процессор AMD Ryzen 9 5900X AM4 (100-100000061WOF) (3.7GHz) Box w/o cooler</t>
        </is>
      </c>
      <c r="E2608" s="2">
        <v>36</v>
      </c>
      <c r="F2608" s="2">
        <v>36</v>
      </c>
      <c r="H2608" s="2">
        <v>339</v>
      </c>
      <c r="I2608" s="2" t="inlineStr">
        <is>
          <t>$</t>
        </is>
      </c>
      <c r="J2608" s="2">
        <f>HYPERLINK("https://app.astro.lead-studio.pro/product/958a2724-e824-4270-9ec9-77b810c1036e")</f>
      </c>
    </row>
    <row r="2609" spans="1:10" customHeight="0">
      <c r="A2609" s="2" t="inlineStr">
        <is>
          <t>Системы хранения данных (СХД)</t>
        </is>
      </c>
      <c r="B2609" s="2" t="inlineStr">
        <is>
          <t>HPE</t>
        </is>
      </c>
      <c r="C2609" s="2" t="inlineStr">
        <is>
          <t>Q6Q62C</t>
        </is>
      </c>
      <c r="D2609" s="2" t="inlineStr">
        <is>
          <t>Ленточная библиотека HPE StoreEver MSL3040 (Q6Q62C)</t>
        </is>
      </c>
      <c r="E2609" s="2">
        <v>4</v>
      </c>
      <c r="F2609" s="2">
        <v>1</v>
      </c>
      <c r="H2609" s="2">
        <v>5138</v>
      </c>
      <c r="I2609" s="2" t="inlineStr">
        <is>
          <t>$</t>
        </is>
      </c>
      <c r="J2609" s="2">
        <f>HYPERLINK("https://app.astro.lead-studio.pro/product/4d797942-6ede-4b53-b6ed-f82b5d68f6dd")</f>
      </c>
    </row>
    <row r="2610" spans="1:10" customHeight="0">
      <c r="A2610" s="2" t="inlineStr">
        <is>
          <t>Системы хранения данных (СХД)</t>
        </is>
      </c>
      <c r="B2610" s="2" t="inlineStr">
        <is>
          <t>BROCADE</t>
        </is>
      </c>
      <c r="C2610" s="2" t="inlineStr">
        <is>
          <t>BR-G620-48-32G-R</t>
        </is>
      </c>
      <c r="D2610" s="2" t="inlineStr">
        <is>
          <t>Коммутатор Brocade G620 32Gb 48port 2x48port actived Enterprise bundle (BR-G620-48-32G-R)</t>
        </is>
      </c>
      <c r="E2610" s="2">
        <v>4</v>
      </c>
      <c r="F2610" s="2">
        <v>1</v>
      </c>
      <c r="H2610" s="2">
        <v>22218</v>
      </c>
      <c r="I2610" s="2" t="inlineStr">
        <is>
          <t>$</t>
        </is>
      </c>
      <c r="J2610" s="2">
        <f>HYPERLINK("https://app.astro.lead-studio.pro/product/3a435a6f-3941-4b9a-b57a-d54cb72b32e3")</f>
      </c>
    </row>
    <row r="2611" spans="1:10" customHeight="0">
      <c r="A2611" s="2" t="inlineStr">
        <is>
          <t>Системы хранения данных (СХД)</t>
        </is>
      </c>
      <c r="B2611" s="2" t="inlineStr">
        <is>
          <t>BROCADE</t>
        </is>
      </c>
      <c r="C2611" s="2" t="inlineStr">
        <is>
          <t>BR-G620-24-32G-R</t>
        </is>
      </c>
      <c r="D2611" s="2" t="inlineStr">
        <is>
          <t>Коммутатор Brocade G620 FC 24-ort lice 24x32Gb SWL SFP+ 2x250W Rail Kit Enterprise Bundle (BR-G620-24-32G-R)</t>
        </is>
      </c>
      <c r="E2611" s="2">
        <v>3</v>
      </c>
      <c r="F2611" s="2">
        <v>3</v>
      </c>
      <c r="H2611" s="2">
        <v>17473</v>
      </c>
      <c r="I2611" s="2" t="inlineStr">
        <is>
          <t>$</t>
        </is>
      </c>
      <c r="J2611" s="2">
        <f>HYPERLINK("https://app.astro.lead-studio.pro/product/3a8e38f7-e022-40df-8478-b57a56bea3c1")</f>
      </c>
    </row>
    <row r="2612" spans="1:10" customHeight="0">
      <c r="A2612" s="2" t="inlineStr">
        <is>
          <t>Серверы</t>
        </is>
      </c>
      <c r="B2612" s="2" t="inlineStr">
        <is>
          <t>SUPERCLOUD</t>
        </is>
      </c>
      <c r="C2612" s="2" t="inlineStr">
        <is>
          <t>F20230214N278840</t>
        </is>
      </c>
      <c r="D2612" s="2" t="inlineStr">
        <is>
          <t>Сервер SuperCloud R5210 G12 1x4309Y 1x16Gb x8 1x240Gb 2.5"/3.5" SATA C621A iPMI 1G 2P 2x800W 3nd Gen. Intel Xeon. TDP &lt;=235W W.O. Heatsink (F20230214N278840)</t>
        </is>
      </c>
      <c r="E2612" s="2">
        <v>1</v>
      </c>
      <c r="F2612" s="2">
        <v>1</v>
      </c>
      <c r="H2612" s="2">
        <v>11050</v>
      </c>
      <c r="I2612" s="2" t="inlineStr">
        <is>
          <t>$</t>
        </is>
      </c>
      <c r="J2612" s="2">
        <f>HYPERLINK("https://app.astro.lead-studio.pro/product/b5b117c1-12ac-4ec4-9204-bb3701635172")</f>
      </c>
    </row>
    <row r="2613" spans="1:10" customHeight="0">
      <c r="A2613" s="2" t="inlineStr">
        <is>
          <t>Серверные опции</t>
        </is>
      </c>
      <c r="B2613" s="2" t="inlineStr">
        <is>
          <t>HPE</t>
        </is>
      </c>
      <c r="C2613" s="2" t="inlineStr">
        <is>
          <t>830824-B21</t>
        </is>
      </c>
      <c r="D2613" s="2" t="inlineStr">
        <is>
          <t>Контроллер HPE Smart Array P408i-p SR 8int.lan 2Gb Cache 12G SAS PCIe (830824-B21)</t>
        </is>
      </c>
      <c r="E2613" s="2">
        <v>5</v>
      </c>
      <c r="F2613" s="2">
        <v>5</v>
      </c>
      <c r="H2613" s="2">
        <v>790</v>
      </c>
      <c r="I2613" s="2" t="inlineStr">
        <is>
          <t>$</t>
        </is>
      </c>
      <c r="J2613" s="2">
        <f>HYPERLINK("https://app.astro.lead-studio.pro/product/314b32d2-40f0-4807-ad62-91a223fb2ab0")</f>
      </c>
    </row>
    <row r="2614" spans="1:10" customHeight="0">
      <c r="A2614" s="2" t="inlineStr">
        <is>
          <t>Процессоры</t>
        </is>
      </c>
      <c r="B2614" s="2" t="inlineStr">
        <is>
          <t>AMD</t>
        </is>
      </c>
      <c r="C2614" s="2" t="inlineStr">
        <is>
          <t>100-000000444</t>
        </is>
      </c>
      <c r="D2614" s="2" t="inlineStr">
        <is>
          <t>Процессор AMD Ryzen Threadripper Pro 5995WX sWRX8 (100-000000444) (2.7GHz/100MHz) OEM</t>
        </is>
      </c>
      <c r="E2614" s="2">
        <v>2</v>
      </c>
      <c r="F2614" s="2">
        <v>2</v>
      </c>
      <c r="H2614" s="2">
        <v>5098</v>
      </c>
      <c r="I2614" s="2" t="inlineStr">
        <is>
          <t>$</t>
        </is>
      </c>
      <c r="J2614" s="2">
        <f>HYPERLINK("https://app.astro.lead-studio.pro/product/7eca2d27-9bd2-4cae-ae34-e32f8072e1f6")</f>
      </c>
    </row>
    <row r="2615" spans="1:10" customHeight="0">
      <c r="A2615" s="2" t="inlineStr">
        <is>
          <t>Cетевое оборудование</t>
        </is>
      </c>
      <c r="B2615" s="2" t="inlineStr">
        <is>
          <t>UBIQUITI</t>
        </is>
      </c>
      <c r="C2615" s="2" t="inlineStr">
        <is>
          <t>AM-5AC22-45</t>
        </is>
      </c>
      <c r="D2615" s="2" t="inlineStr">
        <is>
          <t>Антенна Ubiquiti airMax Sector 5G-22-45-AC однодиапазонная серый (AM-5AC22-45)</t>
        </is>
      </c>
      <c r="E2615" s="2">
        <v>5</v>
      </c>
      <c r="F2615" s="2">
        <v>5</v>
      </c>
      <c r="H2615" s="2">
        <v>325</v>
      </c>
      <c r="I2615" s="2" t="inlineStr">
        <is>
          <t>$</t>
        </is>
      </c>
      <c r="J2615" s="2">
        <f>HYPERLINK("https://app.astro.lead-studio.pro/product/937b627d-ecf2-4eef-a73c-ce9d850160cc")</f>
      </c>
    </row>
    <row r="2616" spans="1:10" customHeight="0">
      <c r="A2616" s="2" t="inlineStr">
        <is>
          <t>Серверы</t>
        </is>
      </c>
      <c r="B2616" s="2" t="inlineStr">
        <is>
          <t>LENOVO</t>
        </is>
      </c>
      <c r="C2616" s="2" t="inlineStr">
        <is>
          <t>7Z71SESB00/2</t>
        </is>
      </c>
      <c r="D2616" s="2" t="inlineStr">
        <is>
          <t>Сервер Lenovo ThinkSystem SR630 V2 2x4314 2x32Gb x8 2.5" 9350-8i 2Gb 1G 4P 2x750W 1Y (7Z71SESB00/2)</t>
        </is>
      </c>
      <c r="E2616" s="2">
        <v>2</v>
      </c>
      <c r="F2616" s="2">
        <v>2</v>
      </c>
      <c r="H2616" s="2">
        <v>6580</v>
      </c>
      <c r="I2616" s="2" t="inlineStr">
        <is>
          <t>$</t>
        </is>
      </c>
      <c r="J2616" s="2">
        <f>HYPERLINK("https://app.astro.lead-studio.pro/product/af01b737-b2ad-46a8-9c5c-ae5044e60f5f")</f>
      </c>
    </row>
    <row r="2617" spans="1:10" customHeight="0">
      <c r="A2617" s="2" t="inlineStr">
        <is>
          <t>Серверы</t>
        </is>
      </c>
      <c r="B2617" s="2" t="inlineStr">
        <is>
          <t>LENOVO</t>
        </is>
      </c>
      <c r="C2617" s="2" t="inlineStr">
        <is>
          <t>7Z73T0TY00/1</t>
        </is>
      </c>
      <c r="D2617" s="2" t="inlineStr">
        <is>
          <t>Сервер Lenovo ThinkSystem SR650 V2 1x4310 2x32Gb x8 2.5" 9350-8i 2Gb 1G 4P 2x750W 1Y (7Z73T0TY00/1)</t>
        </is>
      </c>
      <c r="E2617" s="2">
        <v>10</v>
      </c>
      <c r="F2617" s="2">
        <v>10</v>
      </c>
      <c r="H2617" s="2">
        <v>5063</v>
      </c>
      <c r="I2617" s="2" t="inlineStr">
        <is>
          <t>$</t>
        </is>
      </c>
      <c r="J2617" s="2">
        <f>HYPERLINK("https://app.astro.lead-studio.pro/product/d1d49054-9d20-4052-9776-a8bc7a2fc163")</f>
      </c>
    </row>
    <row r="2618" spans="1:10" customHeight="0">
      <c r="A2618" s="2" t="inlineStr">
        <is>
          <t>Серверы</t>
        </is>
      </c>
      <c r="B2618" s="2" t="inlineStr">
        <is>
          <t>LENOVO</t>
        </is>
      </c>
      <c r="C2618" s="2" t="inlineStr">
        <is>
          <t>7Z73T0TU00/1</t>
        </is>
      </c>
      <c r="D2618" s="2" t="inlineStr">
        <is>
          <t>Сервер Lenovo ThinkSystem SR650 V2 1x4316 2x32Gb x8 2.5" 9350-8i 2Gb 1G 4P 2x750W 1Y (7Z73T0TU00/1)</t>
        </is>
      </c>
      <c r="E2618" s="2">
        <v>2</v>
      </c>
      <c r="F2618" s="2">
        <v>2</v>
      </c>
      <c r="H2618" s="2">
        <v>5904</v>
      </c>
      <c r="I2618" s="2" t="inlineStr">
        <is>
          <t>$</t>
        </is>
      </c>
      <c r="J2618" s="2">
        <f>HYPERLINK("https://app.astro.lead-studio.pro/product/f490f5f3-ce39-4e43-abb7-10214d4de5e5")</f>
      </c>
    </row>
    <row r="2619" spans="1:10" customHeight="0">
      <c r="A2619" s="2" t="inlineStr">
        <is>
          <t>Серверы</t>
        </is>
      </c>
      <c r="B2619" s="2" t="inlineStr">
        <is>
          <t>LENOVO</t>
        </is>
      </c>
      <c r="C2619" s="2" t="inlineStr">
        <is>
          <t>7Z73T0TU00/2</t>
        </is>
      </c>
      <c r="D2619" s="2" t="inlineStr">
        <is>
          <t>Сервер Lenovo ThinkSystem SR650 V2 2x4316 2x32Gb x8 2.5" 9350-8i 2Gb 1G 4P 2x750W 1Y (7Z73T0TU00/2)</t>
        </is>
      </c>
      <c r="E2619" s="2">
        <v>1</v>
      </c>
      <c r="F2619" s="2">
        <v>1</v>
      </c>
      <c r="H2619" s="2">
        <v>7974</v>
      </c>
      <c r="I2619" s="2" t="inlineStr">
        <is>
          <t>$</t>
        </is>
      </c>
      <c r="J2619" s="2">
        <f>HYPERLINK("https://app.astro.lead-studio.pro/product/f51446be-8fc4-4ea7-aa27-fcd9c7ef1625")</f>
      </c>
    </row>
    <row r="2620" spans="1:10" customHeight="0">
      <c r="A2620" s="2" t="inlineStr">
        <is>
          <t>Серверы</t>
        </is>
      </c>
      <c r="B2620" s="2" t="inlineStr">
        <is>
          <t>LENOVO</t>
        </is>
      </c>
      <c r="C2620" s="2" t="inlineStr">
        <is>
          <t>7Z73T0TW00/1</t>
        </is>
      </c>
      <c r="D2620" s="2" t="inlineStr">
        <is>
          <t>Сервер Lenovo ThinkSystem SR650 V2 2x6330 2x32Gb x8 2.5" 2x240Gb M.2 9350-8i 2Gb 1G 4P 2x750W 1Y (7Z73T0TW00/1)</t>
        </is>
      </c>
      <c r="E2620" s="2">
        <v>3</v>
      </c>
      <c r="F2620" s="2">
        <v>3</v>
      </c>
      <c r="H2620" s="2">
        <v>10083</v>
      </c>
      <c r="I2620" s="2" t="inlineStr">
        <is>
          <t>$</t>
        </is>
      </c>
      <c r="J2620" s="2">
        <f>HYPERLINK("https://app.astro.lead-studio.pro/product/fa78f443-71e5-4008-bc41-867b2473fe6e")</f>
      </c>
    </row>
    <row r="2621" spans="1:10" customHeight="0">
      <c r="A2621" s="2" t="inlineStr">
        <is>
          <t>Процессоры</t>
        </is>
      </c>
      <c r="B2621" s="2" t="inlineStr">
        <is>
          <t>AMD</t>
        </is>
      </c>
      <c r="C2621" s="2" t="inlineStr">
        <is>
          <t>100-000000908</t>
        </is>
      </c>
      <c r="D2621" s="2" t="inlineStr">
        <is>
          <t>Процессор AMD Ryzen 9 7950X3D AM5 (100-000000908) (4.2GHz/AMD Radeon) OEM</t>
        </is>
      </c>
      <c r="E2621" s="2">
        <v>68</v>
      </c>
      <c r="F2621" s="2">
        <v>61</v>
      </c>
      <c r="H2621" s="2">
        <v>783</v>
      </c>
      <c r="I2621" s="2" t="inlineStr">
        <is>
          <t>$</t>
        </is>
      </c>
      <c r="J2621" s="2">
        <f>HYPERLINK("https://app.astro.lead-studio.pro/product/1461bd57-cb07-486e-b867-6e5df125ca2d")</f>
      </c>
    </row>
    <row r="2622" spans="1:10" customHeight="0">
      <c r="A2622" s="2" t="inlineStr">
        <is>
          <t>Системы хранения данных (СХД)</t>
        </is>
      </c>
      <c r="B2622" s="2" t="inlineStr">
        <is>
          <t>BROCADE</t>
        </is>
      </c>
      <c r="C2622" s="2" t="inlineStr">
        <is>
          <t>BR-G610-24-16G</t>
        </is>
      </c>
      <c r="D2622" s="2" t="inlineStr">
        <is>
          <t>Коммутатор Brocade G610 FC 24x16GB SWL SFP moudles Enterprise Bundle (BR-G610-24-16G)</t>
        </is>
      </c>
      <c r="E2622" s="2">
        <v>7</v>
      </c>
      <c r="F2622" s="2">
        <v>5</v>
      </c>
      <c r="H2622" s="2">
        <v>7443</v>
      </c>
      <c r="I2622" s="2" t="inlineStr">
        <is>
          <t>$</t>
        </is>
      </c>
      <c r="J2622" s="2">
        <f>HYPERLINK("https://app.astro.lead-studio.pro/product/67dd3173-c059-46dd-bac6-18269408414c")</f>
      </c>
    </row>
    <row r="2623" spans="1:10" customHeight="0">
      <c r="A2623" s="2" t="inlineStr">
        <is>
          <t>Серверные опции</t>
        </is>
      </c>
      <c r="B2623" s="2" t="inlineStr">
        <is>
          <t>HPE</t>
        </is>
      </c>
      <c r="C2623" s="2" t="inlineStr">
        <is>
          <t>844477-B21</t>
        </is>
      </c>
      <c r="D2623" s="2" t="inlineStr">
        <is>
          <t>Кабель DAC HPE 844477-B21 3м SFP28-SFP28</t>
        </is>
      </c>
      <c r="E2623" s="2">
        <v>1</v>
      </c>
      <c r="F2623" s="2">
        <v>1</v>
      </c>
      <c r="H2623" s="2">
        <v>411</v>
      </c>
      <c r="I2623" s="2" t="inlineStr">
        <is>
          <t>$</t>
        </is>
      </c>
      <c r="J2623" s="2">
        <f>HYPERLINK("https://app.astro.lead-studio.pro/product/98143394-16bd-4c2b-b797-baf412ceb0e3")</f>
      </c>
    </row>
    <row r="2624" spans="1:10" customHeight="0">
      <c r="A2624" s="2" t="inlineStr">
        <is>
          <t>Системы хранения данных (СХД)</t>
        </is>
      </c>
      <c r="B2624" s="2" t="inlineStr">
        <is>
          <t>HPE</t>
        </is>
      </c>
      <c r="C2624" s="2" t="inlineStr">
        <is>
          <t>R0Q39B</t>
        </is>
      </c>
      <c r="D2624" s="2" t="inlineStr">
        <is>
          <t>Дисковая полка HPE MSA 2060 x12 LFF SAS (R0Q39B)</t>
        </is>
      </c>
      <c r="E2624" s="2">
        <v>2</v>
      </c>
      <c r="F2624" s="2">
        <v>2</v>
      </c>
      <c r="H2624" s="2">
        <v>4043</v>
      </c>
      <c r="I2624" s="2" t="inlineStr">
        <is>
          <t>$</t>
        </is>
      </c>
      <c r="J2624" s="2">
        <f>HYPERLINK("https://app.astro.lead-studio.pro/product/7a6e5e0c-f6ac-4434-b100-9c90cf9e0fd2")</f>
      </c>
    </row>
    <row r="2625" spans="1:10" customHeight="0">
      <c r="A2625" s="2" t="inlineStr">
        <is>
          <t>Системы хранения данных (СХД)</t>
        </is>
      </c>
      <c r="B2625" s="2" t="inlineStr">
        <is>
          <t>BROCADE</t>
        </is>
      </c>
      <c r="C2625" s="2" t="inlineStr">
        <is>
          <t>57-1000332-01</t>
        </is>
      </c>
      <c r="D2625" s="2" t="inlineStr">
        <is>
          <t>Трансивер Brocade 57-1000332-01 32Gbit/s LWL Gen 6 XBR-000238</t>
        </is>
      </c>
      <c r="E2625" s="2">
        <v>16</v>
      </c>
      <c r="F2625" s="2">
        <v>16</v>
      </c>
      <c r="H2625" s="2">
        <v>455</v>
      </c>
      <c r="I2625" s="2" t="inlineStr">
        <is>
          <t>$</t>
        </is>
      </c>
      <c r="J2625" s="2">
        <f>HYPERLINK("https://app.astro.lead-studio.pro/product/d36937b7-4248-4c25-afab-eb1023bc194d")</f>
      </c>
    </row>
    <row r="2626" spans="1:10" customHeight="0">
      <c r="A2626" s="2" t="inlineStr">
        <is>
          <t>Процессоры</t>
        </is>
      </c>
      <c r="B2626" s="2" t="inlineStr">
        <is>
          <t>INTEL</t>
        </is>
      </c>
      <c r="C2626" s="2" t="inlineStr">
        <is>
          <t>CM8071504820721 SRN3X</t>
        </is>
      </c>
      <c r="D2626" s="2" t="inlineStr">
        <is>
          <t>Процессор Intel Core i7 14700K Soc-1700 (CM8071504820721 SRN3X) (3.4GHz/Intel UHD Graphics 770) OEM</t>
        </is>
      </c>
      <c r="E2626" s="2">
        <v>79</v>
      </c>
      <c r="F2626" s="2">
        <v>75</v>
      </c>
      <c r="H2626" s="2">
        <v>460</v>
      </c>
      <c r="I2626" s="2" t="inlineStr">
        <is>
          <t>$</t>
        </is>
      </c>
      <c r="J2626" s="2">
        <f>HYPERLINK("https://app.astro.lead-studio.pro/product/7f6ff0e9-acb2-4381-935d-fe0ad5550beb")</f>
      </c>
    </row>
    <row r="2627" spans="1:10" customHeight="0">
      <c r="A2627" s="2" t="inlineStr">
        <is>
          <t>Процессоры</t>
        </is>
      </c>
      <c r="B2627" s="2" t="inlineStr">
        <is>
          <t>INTEL</t>
        </is>
      </c>
      <c r="C2627" s="2" t="inlineStr">
        <is>
          <t>CM8071504820722 SRN3Y</t>
        </is>
      </c>
      <c r="D2627" s="2" t="inlineStr">
        <is>
          <t>Процессор Intel Core i7 14700KF Soc-1700 (CM8071504820722 SRN3Y) (3.4GHz) OEM</t>
        </is>
      </c>
      <c r="E2627" s="2">
        <v>95</v>
      </c>
      <c r="F2627" s="2">
        <v>87</v>
      </c>
      <c r="H2627" s="2">
        <v>428</v>
      </c>
      <c r="I2627" s="2" t="inlineStr">
        <is>
          <t>$</t>
        </is>
      </c>
      <c r="J2627" s="2">
        <f>HYPERLINK("https://app.astro.lead-studio.pro/product/63161fc0-12f2-4117-beee-d956e89d9575")</f>
      </c>
    </row>
    <row r="2628" spans="1:10" customHeight="0">
      <c r="A2628" s="2" t="inlineStr">
        <is>
          <t>Процессоры</t>
        </is>
      </c>
      <c r="B2628" s="2" t="inlineStr">
        <is>
          <t>INTEL</t>
        </is>
      </c>
      <c r="C2628" s="2" t="inlineStr">
        <is>
          <t>CM8071505094017 SRN48</t>
        </is>
      </c>
      <c r="D2628" s="2" t="inlineStr">
        <is>
          <t>Процессор Intel Core i9 14900K Soc-1700 (CM8071505094017 SRN48) (3.2GHz/Intel UHD Graphics 770) OEM</t>
        </is>
      </c>
      <c r="E2628" s="2">
        <v>15</v>
      </c>
      <c r="F2628" s="2">
        <v>12</v>
      </c>
      <c r="H2628" s="2">
        <v>580</v>
      </c>
      <c r="I2628" s="2" t="inlineStr">
        <is>
          <t>$</t>
        </is>
      </c>
      <c r="J2628" s="2">
        <f>HYPERLINK("https://app.astro.lead-studio.pro/product/e4c9f968-26a6-455a-bbfb-e05cbefb0b10")</f>
      </c>
    </row>
    <row r="2629" spans="1:10" customHeight="0">
      <c r="A2629" s="2" t="inlineStr">
        <is>
          <t>Процессоры</t>
        </is>
      </c>
      <c r="B2629" s="2" t="inlineStr">
        <is>
          <t>INTEL</t>
        </is>
      </c>
      <c r="C2629" s="2" t="inlineStr">
        <is>
          <t>CM8071505094018 SRN49</t>
        </is>
      </c>
      <c r="D2629" s="2" t="inlineStr">
        <is>
          <t>Процессор Intel Core i9 14900KF Soc-1700 (CM8071505094018 SRN49) (3.2GHz) OEM</t>
        </is>
      </c>
      <c r="E2629" s="2">
        <v>21</v>
      </c>
      <c r="F2629" s="2">
        <v>19</v>
      </c>
      <c r="H2629" s="2">
        <v>542</v>
      </c>
      <c r="I2629" s="2" t="inlineStr">
        <is>
          <t>$</t>
        </is>
      </c>
      <c r="J2629" s="2">
        <f>HYPERLINK("https://app.astro.lead-studio.pro/product/f52ee3a0-0b8f-4967-a9bc-8ee5ae4283a6")</f>
      </c>
    </row>
    <row r="2630" spans="1:10" customHeight="0">
      <c r="A2630" s="2" t="inlineStr">
        <is>
          <t>Платформы NUC</t>
        </is>
      </c>
      <c r="B2630" s="2" t="inlineStr">
        <is>
          <t>INTEL</t>
        </is>
      </c>
      <c r="C2630" s="2" t="inlineStr">
        <is>
          <t>RNUC12WSKI30001</t>
        </is>
      </c>
      <c r="D2630" s="2" t="inlineStr">
        <is>
          <t>Платформа Intel NUC SFF RNUC12WSKI30001 4.4GHz 2xDDR4</t>
        </is>
      </c>
      <c r="E2630" s="2">
        <v>26</v>
      </c>
      <c r="F2630" s="2">
        <v>26</v>
      </c>
      <c r="H2630" s="2">
        <v>413</v>
      </c>
      <c r="I2630" s="2" t="inlineStr">
        <is>
          <t>$</t>
        </is>
      </c>
      <c r="J2630" s="2">
        <f>HYPERLINK("https://app.astro.lead-studio.pro/product/a4ae669a-8a93-4805-bb08-eed554eb1567")</f>
      </c>
    </row>
    <row r="2631" spans="1:10" customHeight="0">
      <c r="A2631" s="2" t="inlineStr">
        <is>
          <t>Серверные опции</t>
        </is>
      </c>
      <c r="B2631" s="2" t="inlineStr">
        <is>
          <t>INTEL</t>
        </is>
      </c>
      <c r="C2631" s="2" t="inlineStr">
        <is>
          <t>CD8068904572601 SRKHR</t>
        </is>
      </c>
      <c r="D2631" s="2" t="inlineStr">
        <is>
          <t>Процессор Intel Xeon Platinum 8380 60Mb 2.3Ghz (CD8068904572601 SRKHR)</t>
        </is>
      </c>
      <c r="E2631" s="2">
        <v>11</v>
      </c>
      <c r="F2631" s="2">
        <v>3</v>
      </c>
      <c r="H2631" s="2">
        <v>9572</v>
      </c>
      <c r="I2631" s="2" t="inlineStr">
        <is>
          <t>$</t>
        </is>
      </c>
      <c r="J2631" s="2">
        <f>HYPERLINK("https://app.astro.lead-studio.pro/product/fa0bbd23-83d4-406d-8afc-0cf821630dcd")</f>
      </c>
    </row>
    <row r="2632" spans="1:10" customHeight="0">
      <c r="A2632" s="2" t="inlineStr">
        <is>
          <t>Серверные опции</t>
        </is>
      </c>
      <c r="B2632" s="2" t="inlineStr">
        <is>
          <t>HDS</t>
        </is>
      </c>
      <c r="C2632" s="2" t="inlineStr">
        <is>
          <t>5562826-A</t>
        </is>
      </c>
      <c r="D2632" s="2" t="inlineStr">
        <is>
          <t>Накопитель SSD HDS 3.8TB SAS 5562826-A Hot Swapp 2.5"</t>
        </is>
      </c>
      <c r="E2632" s="2">
        <v>4</v>
      </c>
      <c r="F2632" s="2">
        <v>4</v>
      </c>
      <c r="H2632" s="2">
        <v>3981</v>
      </c>
      <c r="I2632" s="2" t="inlineStr">
        <is>
          <t>$</t>
        </is>
      </c>
      <c r="J2632" s="2">
        <f>HYPERLINK("https://app.astro.lead-studio.pro/product/3ca7e51b-b513-4d60-bce0-29b4c1c8fd42")</f>
      </c>
    </row>
    <row r="2633" spans="1:10" customHeight="0">
      <c r="A2633" s="2" t="inlineStr">
        <is>
          <t>Системы хранения данных (СХД)</t>
        </is>
      </c>
      <c r="B2633" s="2" t="inlineStr">
        <is>
          <t>HPE</t>
        </is>
      </c>
      <c r="C2633" s="2" t="inlineStr">
        <is>
          <t>R0P97A</t>
        </is>
      </c>
      <c r="D2633" s="2" t="inlineStr">
        <is>
          <t>Накопитель SSD HPE Primera 600 7.68Tb SAS SFF 2.5" (R0P97A)</t>
        </is>
      </c>
      <c r="E2633" s="2">
        <v>4</v>
      </c>
      <c r="F2633" s="2">
        <v>4</v>
      </c>
      <c r="H2633" s="2">
        <v>9054</v>
      </c>
      <c r="I2633" s="2" t="inlineStr">
        <is>
          <t>$</t>
        </is>
      </c>
      <c r="J2633" s="2">
        <f>HYPERLINK("https://app.astro.lead-studio.pro/product/6fa7494d-8f52-4f3b-8eab-a96cebed1761")</f>
      </c>
    </row>
    <row r="2634" spans="1:10" customHeight="0">
      <c r="A2634" s="2" t="inlineStr">
        <is>
          <t>Серверные опции</t>
        </is>
      </c>
      <c r="B2634" s="2" t="inlineStr">
        <is>
          <t>HPE</t>
        </is>
      </c>
      <c r="C2634" s="2" t="inlineStr">
        <is>
          <t>804394-B21</t>
        </is>
      </c>
      <c r="D2634" s="2" t="inlineStr">
        <is>
          <t>Контроллер HPE Smart Array E208i-p SR Gen10 8int.lan noCache 12G SAS PCIe (804394-B21)</t>
        </is>
      </c>
      <c r="E2634" s="2">
        <v>2</v>
      </c>
      <c r="F2634" s="2">
        <v>2</v>
      </c>
      <c r="H2634" s="2">
        <v>498</v>
      </c>
      <c r="I2634" s="2" t="inlineStr">
        <is>
          <t>$</t>
        </is>
      </c>
      <c r="J2634" s="2">
        <f>HYPERLINK("https://app.astro.lead-studio.pro/product/4507399a-7953-4c87-927b-49613ff63da8")</f>
      </c>
    </row>
    <row r="2635" spans="1:10" customHeight="0">
      <c r="A2635" s="2" t="inlineStr">
        <is>
          <t>Процессоры</t>
        </is>
      </c>
      <c r="B2635" s="2" t="inlineStr">
        <is>
          <t>INTEL</t>
        </is>
      </c>
      <c r="C2635" s="2" t="inlineStr">
        <is>
          <t>CM8071504820816 SRN3Z</t>
        </is>
      </c>
      <c r="D2635" s="2" t="inlineStr">
        <is>
          <t>Процессор Intel Core i7 14700F Soc-1700 (CM8071504820816 SRN3Z) (2.1GHz) OEM</t>
        </is>
      </c>
      <c r="E2635" s="2">
        <v>11</v>
      </c>
      <c r="F2635" s="2">
        <v>11</v>
      </c>
      <c r="H2635" s="2">
        <v>389</v>
      </c>
      <c r="I2635" s="2" t="inlineStr">
        <is>
          <t>$</t>
        </is>
      </c>
      <c r="J2635" s="2">
        <f>HYPERLINK("https://app.astro.lead-studio.pro/product/9a9d96c2-c09c-40c9-b673-5fcc0171840d")</f>
      </c>
    </row>
    <row r="2636" spans="1:10" customHeight="0">
      <c r="A2636" s="2" t="inlineStr">
        <is>
          <t>Системы хранения данных (СХД)</t>
        </is>
      </c>
      <c r="B2636" s="2" t="inlineStr">
        <is>
          <t>HPE</t>
        </is>
      </c>
      <c r="C2636" s="2" t="inlineStr">
        <is>
          <t>N9Z50A</t>
        </is>
      </c>
      <c r="D2636" s="2" t="inlineStr">
        <is>
          <t>Дисковый массив HPE Primera 600 (N9Z50A)</t>
        </is>
      </c>
      <c r="E2636" s="2">
        <v>1</v>
      </c>
      <c r="F2636" s="2">
        <v>1</v>
      </c>
      <c r="H2636" s="2">
        <v>5643</v>
      </c>
      <c r="I2636" s="2" t="inlineStr">
        <is>
          <t>$</t>
        </is>
      </c>
      <c r="J2636" s="2">
        <f>HYPERLINK("https://app.astro.lead-studio.pro/product/c19de03e-1039-4c20-8d30-3f1c150e6f69")</f>
      </c>
    </row>
    <row r="2637" spans="1:10" customHeight="0">
      <c r="A2637" s="2" t="inlineStr">
        <is>
          <t>Процессоры</t>
        </is>
      </c>
      <c r="B2637" s="2" t="inlineStr">
        <is>
          <t>INTEL</t>
        </is>
      </c>
      <c r="C2637" s="2" t="inlineStr">
        <is>
          <t>CM8071504820817 SRN40</t>
        </is>
      </c>
      <c r="D2637" s="2" t="inlineStr">
        <is>
          <t>Процессор Intel Core i7 14700 Soc-1700 (CM8071504820817 SRN40) (2.1GHz/Intel UHD Graphics 770) OEM</t>
        </is>
      </c>
      <c r="E2637" s="2">
        <v>50</v>
      </c>
      <c r="F2637" s="2">
        <v>46</v>
      </c>
      <c r="H2637" s="2">
        <v>409</v>
      </c>
      <c r="I2637" s="2" t="inlineStr">
        <is>
          <t>$</t>
        </is>
      </c>
      <c r="J2637" s="2">
        <f>HYPERLINK("https://app.astro.lead-studio.pro/product/22979e38-d81c-4f18-b635-348f0c4cbe38")</f>
      </c>
    </row>
    <row r="2638" spans="1:10" customHeight="0">
      <c r="A2638" s="2" t="inlineStr">
        <is>
          <t>Процессоры</t>
        </is>
      </c>
      <c r="B2638" s="2" t="inlineStr">
        <is>
          <t>AMD</t>
        </is>
      </c>
      <c r="C2638" s="2" t="inlineStr">
        <is>
          <t>100-000001236</t>
        </is>
      </c>
      <c r="D2638" s="2" t="inlineStr">
        <is>
          <t>Процессор AMD Ryzen 7 8700G AM5 (100-000001236) (4.2GHz/AMD Radeon 780M) OEM</t>
        </is>
      </c>
      <c r="E2638" s="2">
        <v>65</v>
      </c>
      <c r="F2638" s="2">
        <v>65</v>
      </c>
      <c r="H2638" s="2">
        <v>320</v>
      </c>
      <c r="I2638" s="2" t="inlineStr">
        <is>
          <t>$</t>
        </is>
      </c>
      <c r="J2638" s="2">
        <f>HYPERLINK("https://app.astro.lead-studio.pro/product/d388d619-fbba-4a92-92fc-248c84706642")</f>
      </c>
    </row>
    <row r="2639" spans="1:10" customHeight="0">
      <c r="A2639" s="2" t="inlineStr">
        <is>
          <t>Платформы NUC</t>
        </is>
      </c>
      <c r="B2639" s="2" t="inlineStr">
        <is>
          <t>INTEL</t>
        </is>
      </c>
      <c r="C2639" s="2" t="inlineStr">
        <is>
          <t>NUC11PAHI3</t>
        </is>
      </c>
      <c r="D2639" s="2" t="inlineStr">
        <is>
          <t>Платформа Intel NUC RNUC11PAHI30Z01 4.1GHz 2xDDR4</t>
        </is>
      </c>
      <c r="E2639" s="2">
        <v>96</v>
      </c>
      <c r="F2639" s="2">
        <v>96</v>
      </c>
      <c r="H2639" s="2">
        <v>449</v>
      </c>
      <c r="I2639" s="2" t="inlineStr">
        <is>
          <t>$</t>
        </is>
      </c>
      <c r="J2639" s="2">
        <f>HYPERLINK("https://app.astro.lead-studio.pro/product/028fea4b-f1ec-4b27-bc41-a4ca246dbe50")</f>
      </c>
    </row>
    <row r="2640" spans="1:10" customHeight="0">
      <c r="A2640" s="2" t="inlineStr">
        <is>
          <t>Серверные опции</t>
        </is>
      </c>
      <c r="B2640" s="2" t="inlineStr">
        <is>
          <t>INTEL</t>
        </is>
      </c>
      <c r="C2640" s="2" t="inlineStr">
        <is>
          <t>PK8071305121400</t>
        </is>
      </c>
      <c r="D2640" s="2" t="inlineStr">
        <is>
          <t>Процессор Intel Xeon Gold 6444Y 45Mb 3.6Ghz (PK8071305121400)</t>
        </is>
      </c>
      <c r="E2640" s="2">
        <v>10</v>
      </c>
      <c r="F2640" s="2">
        <v>7</v>
      </c>
      <c r="H2640" s="2">
        <v>3441</v>
      </c>
      <c r="I2640" s="2" t="inlineStr">
        <is>
          <t>$</t>
        </is>
      </c>
      <c r="J2640" s="2">
        <f>HYPERLINK("https://app.astro.lead-studio.pro/product/3cac6fda-2cb0-4d3e-b814-a6d2f95bbee9")</f>
      </c>
    </row>
    <row r="2641" spans="1:10" customHeight="0">
      <c r="A2641" s="2" t="inlineStr">
        <is>
          <t>Процессоры</t>
        </is>
      </c>
      <c r="B2641" s="2" t="inlineStr">
        <is>
          <t>INTEL</t>
        </is>
      </c>
      <c r="C2641" s="2" t="inlineStr">
        <is>
          <t>CM8071504820506 SRN7R</t>
        </is>
      </c>
      <c r="D2641" s="2" t="inlineStr">
        <is>
          <t>Процессор Intel Core i9 14900KS Soc-1700 (CM8071504820506 SRN7R) (3.2GHz/Intel UHD Graphics 770) OEM</t>
        </is>
      </c>
      <c r="E2641" s="2">
        <v>5</v>
      </c>
      <c r="F2641" s="2">
        <v>3</v>
      </c>
      <c r="H2641" s="2">
        <v>926</v>
      </c>
      <c r="I2641" s="2" t="inlineStr">
        <is>
          <t>$</t>
        </is>
      </c>
      <c r="J2641" s="2">
        <f>HYPERLINK("https://app.astro.lead-studio.pro/product/a8022f11-e8f7-48cc-9813-279160c62981")</f>
      </c>
    </row>
    <row r="2642" spans="1:10" customHeight="0">
      <c r="A2642" s="2" t="inlineStr">
        <is>
          <t>Серверные опции</t>
        </is>
      </c>
      <c r="B2642" s="2" t="inlineStr">
        <is>
          <t>HDS</t>
        </is>
      </c>
      <c r="C2642" s="2" t="inlineStr">
        <is>
          <t>DW2-F850-6R0HLM.P</t>
        </is>
      </c>
      <c r="D2642" s="2" t="inlineStr">
        <is>
          <t>Жесткий диск HDS 6TB SAS NL 7.2K DW2-F850-6R0HLM.P Hot Swapp 3.5"</t>
        </is>
      </c>
      <c r="E2642" s="2">
        <v>4</v>
      </c>
      <c r="F2642" s="2">
        <v>4</v>
      </c>
      <c r="H2642" s="2">
        <v>339</v>
      </c>
      <c r="I2642" s="2" t="inlineStr">
        <is>
          <t>$</t>
        </is>
      </c>
      <c r="J2642" s="2">
        <f>HYPERLINK("https://app.astro.lead-studio.pro/product/521cdbe7-3b10-47fc-9d8c-a854a2220cbe")</f>
      </c>
    </row>
    <row r="2643" spans="1:10" customHeight="0">
      <c r="A2643" s="2" t="inlineStr">
        <is>
          <t>Системы хранения данных (СХД)</t>
        </is>
      </c>
      <c r="B2643" s="2" t="inlineStr">
        <is>
          <t>NETAPP</t>
        </is>
      </c>
      <c r="C2643" s="2" t="inlineStr">
        <is>
          <t>X65404</t>
        </is>
      </c>
      <c r="D2643" s="2" t="inlineStr">
        <is>
          <t>Трансивер Netapp X65404 SFP28 25GbE SR</t>
        </is>
      </c>
      <c r="E2643" s="2">
        <v>16</v>
      </c>
      <c r="F2643" s="2">
        <v>16</v>
      </c>
      <c r="H2643" s="2">
        <v>371</v>
      </c>
      <c r="I2643" s="2" t="inlineStr">
        <is>
          <t>$</t>
        </is>
      </c>
      <c r="J2643" s="2">
        <f>HYPERLINK("https://app.astro.lead-studio.pro/product/79283a6b-3760-48c9-b4f8-16b071457a84")</f>
      </c>
    </row>
    <row r="2644" spans="1:10" customHeight="0">
      <c r="A2644" s="2" t="inlineStr">
        <is>
          <t>Платформы NUC</t>
        </is>
      </c>
      <c r="B2644" s="2" t="inlineStr">
        <is>
          <t>INTEL</t>
        </is>
      </c>
      <c r="C2644" s="2" t="inlineStr">
        <is>
          <t>BXNUC10I3FNKN1</t>
        </is>
      </c>
      <c r="D2644" s="2" t="inlineStr">
        <is>
          <t>Платформа Intel NUC BXNUC10I3FNKN1 4.1GHz 2xDDR4</t>
        </is>
      </c>
      <c r="E2644" s="2">
        <v>85</v>
      </c>
      <c r="F2644" s="2">
        <v>77</v>
      </c>
      <c r="H2644" s="2">
        <v>406</v>
      </c>
      <c r="I2644" s="2" t="inlineStr">
        <is>
          <t>$</t>
        </is>
      </c>
      <c r="J2644" s="2">
        <f>HYPERLINK("https://app.astro.lead-studio.pro/product/0e5ea2e6-97c6-48f3-b5cd-6d50cef6a43b")</f>
      </c>
    </row>
    <row r="2645" spans="1:10" customHeight="0">
      <c r="A2645" s="2" t="inlineStr">
        <is>
          <t>Серверные опции</t>
        </is>
      </c>
      <c r="B2645" s="2" t="inlineStr">
        <is>
          <t>INTEL</t>
        </is>
      </c>
      <c r="C2645" s="2" t="inlineStr">
        <is>
          <t>CD8068904658802</t>
        </is>
      </c>
      <c r="D2645" s="2" t="inlineStr">
        <is>
          <t>Процессор Intel Xeon Gold 5318N 36Mb 2.1Ghz (CD8068904658802)</t>
        </is>
      </c>
      <c r="E2645" s="2">
        <v>5</v>
      </c>
      <c r="F2645" s="2">
        <v>5</v>
      </c>
      <c r="H2645" s="2">
        <v>2057</v>
      </c>
      <c r="I2645" s="2" t="inlineStr">
        <is>
          <t>$</t>
        </is>
      </c>
      <c r="J2645" s="2">
        <f>HYPERLINK("https://app.astro.lead-studio.pro/product/4d81698a-c89f-4b72-b78c-a22ecb036aef")</f>
      </c>
    </row>
    <row r="2646" spans="1:10" customHeight="0">
      <c r="A2646" s="2" t="inlineStr">
        <is>
          <t>Серверные опции</t>
        </is>
      </c>
      <c r="B2646" s="2" t="inlineStr">
        <is>
          <t>HPE</t>
        </is>
      </c>
      <c r="C2646" s="2" t="inlineStr">
        <is>
          <t>R0Q59A</t>
        </is>
      </c>
      <c r="D2646" s="2" t="inlineStr">
        <is>
          <t>Жесткий диск HPE 8TB SAS 7.2K для MSA R0Q59A 3.5"</t>
        </is>
      </c>
      <c r="E2646" s="2">
        <v>12</v>
      </c>
      <c r="F2646" s="2">
        <v>12</v>
      </c>
      <c r="H2646" s="2">
        <v>629</v>
      </c>
      <c r="I2646" s="2" t="inlineStr">
        <is>
          <t>$</t>
        </is>
      </c>
      <c r="J2646" s="2">
        <f>HYPERLINK("https://app.astro.lead-studio.pro/product/6e67dc4a-cd25-4959-9879-2f3be83e4a15")</f>
      </c>
    </row>
    <row r="2647" spans="1:10" customHeight="0">
      <c r="A2647" s="2" t="inlineStr">
        <is>
          <t>Серверные опции</t>
        </is>
      </c>
      <c r="B2647" s="2" t="inlineStr">
        <is>
          <t>HPE</t>
        </is>
      </c>
      <c r="C2647" s="2" t="inlineStr">
        <is>
          <t>R0Q49A</t>
        </is>
      </c>
      <c r="D2647" s="2" t="inlineStr">
        <is>
          <t>Накопитель SSD HPE 1.92TB SAS LFF R0Q49A 2.5"</t>
        </is>
      </c>
      <c r="E2647" s="2">
        <v>12</v>
      </c>
      <c r="F2647" s="2">
        <v>12</v>
      </c>
      <c r="H2647" s="2">
        <v>1167</v>
      </c>
      <c r="I2647" s="2" t="inlineStr">
        <is>
          <t>$</t>
        </is>
      </c>
      <c r="J2647" s="2">
        <f>HYPERLINK("https://app.astro.lead-studio.pro/product/992e90d4-39f0-4a20-9c26-15fd43457729")</f>
      </c>
    </row>
    <row r="2648" spans="1:10" customHeight="0">
      <c r="A2648" s="2" t="inlineStr">
        <is>
          <t>Серверы</t>
        </is>
      </c>
      <c r="B2648" s="2" t="inlineStr">
        <is>
          <t>ACER</t>
        </is>
      </c>
      <c r="C2648" s="2" t="inlineStr">
        <is>
          <t>US.RL7TA.001</t>
        </is>
      </c>
      <c r="D2648" s="2" t="inlineStr">
        <is>
          <t>Сервер Acer Altos R369F4 2x5218R 16x16Gb x10 2x256Gb M.2 2x240Gb 2.5" SSD 6G SATA AST2500 i350 2P 2x1200W 3Y Onsite w/o OS (US.RL7TA.001)</t>
        </is>
      </c>
      <c r="E2648" s="2">
        <v>2</v>
      </c>
      <c r="F2648" s="2">
        <v>2</v>
      </c>
      <c r="H2648" s="2">
        <v>4334</v>
      </c>
      <c r="I2648" s="2" t="inlineStr">
        <is>
          <t>$</t>
        </is>
      </c>
      <c r="J2648" s="2">
        <f>HYPERLINK("https://app.astro.lead-studio.pro/product/0334cc39-89a3-4a7c-9497-718808fdc465")</f>
      </c>
    </row>
    <row r="2649" spans="1:10" customHeight="0">
      <c r="A2649" s="2" t="inlineStr">
        <is>
          <t>Серверы</t>
        </is>
      </c>
      <c r="B2649" s="2" t="inlineStr">
        <is>
          <t>ACER</t>
        </is>
      </c>
      <c r="C2649" s="2" t="inlineStr">
        <is>
          <t>US.RL7TA.001</t>
        </is>
      </c>
      <c r="D2649" s="2" t="inlineStr">
        <is>
          <t>Сервер Acer Altos R369F4 2x5218R 8x16Gb x10 4x240Gb 2.5" SSD SATA 2.5" AST2500 i350 2P 2x1200W 3Y Onsite w/o OS (US.RL7TA.001)</t>
        </is>
      </c>
      <c r="E2649" s="2">
        <v>3</v>
      </c>
      <c r="F2649" s="2">
        <v>3</v>
      </c>
      <c r="H2649" s="2">
        <v>3284</v>
      </c>
      <c r="I2649" s="2" t="inlineStr">
        <is>
          <t>$</t>
        </is>
      </c>
      <c r="J2649" s="2">
        <f>HYPERLINK("https://app.astro.lead-studio.pro/product/0334cc39-89a3-4a7c-9497-718808fdc465")</f>
      </c>
    </row>
    <row r="2650" spans="1:10" customHeight="0">
      <c r="A2650" s="2" t="inlineStr">
        <is>
          <t>Серверы</t>
        </is>
      </c>
      <c r="B2650" s="2" t="inlineStr">
        <is>
          <t>ALTOS</t>
        </is>
      </c>
      <c r="C2650" s="2" t="inlineStr">
        <is>
          <t>US.RQ1TA.001_8</t>
        </is>
      </c>
      <c r="D2650" s="2" t="inlineStr">
        <is>
          <t>Сервер Altos BrainSphere R369 F4 2x5220R 4x32Gb x10 2x960Gb 2.5" SSD 6G SATA 9361-8i 2G AST2500 i350 2P+10G 2P SFP+ 2x800W 1Y w/o OS (US.RQ1TA.001_8)</t>
        </is>
      </c>
      <c r="E2650" s="2">
        <v>5</v>
      </c>
      <c r="F2650" s="2">
        <v>5</v>
      </c>
      <c r="H2650" s="2">
        <v>3986</v>
      </c>
      <c r="I2650" s="2" t="inlineStr">
        <is>
          <t>$</t>
        </is>
      </c>
      <c r="J2650" s="2">
        <f>HYPERLINK("https://app.astro.lead-studio.pro/product/6d302692-dfaf-4e74-824e-2aa4a1556e23")</f>
      </c>
    </row>
    <row r="2651" spans="1:10" customHeight="0">
      <c r="A2651" s="2" t="inlineStr">
        <is>
          <t>Серверы</t>
        </is>
      </c>
      <c r="B2651" s="2" t="inlineStr">
        <is>
          <t>ALTOS</t>
        </is>
      </c>
      <c r="C2651" s="2" t="inlineStr">
        <is>
          <t>US.RMYTA.004_12</t>
        </is>
      </c>
      <c r="D2651" s="2" t="inlineStr">
        <is>
          <t>Сервер Altos BrainSphere R389 F4 2x6226R 8x32Gb x12 12x600Gb 15K 2.5" SAS 9361-8i 8P 2G+BBU AST2500 i350 2P+10G 2P SFP+ 2x800W 1Y w/o OS (US.RMYTA.004_12)</t>
        </is>
      </c>
      <c r="E2651" s="2">
        <v>2</v>
      </c>
      <c r="F2651" s="2">
        <v>2</v>
      </c>
      <c r="H2651" s="2">
        <v>6922</v>
      </c>
      <c r="I2651" s="2" t="inlineStr">
        <is>
          <t>$</t>
        </is>
      </c>
      <c r="J2651" s="2">
        <f>HYPERLINK("https://app.astro.lead-studio.pro/product/ba4d814e-8256-4447-802f-3ff1db1651f8")</f>
      </c>
    </row>
    <row r="2652" spans="1:10" customHeight="0">
      <c r="A2652" s="2" t="inlineStr">
        <is>
          <t>Серверы</t>
        </is>
      </c>
      <c r="B2652" s="2" t="inlineStr">
        <is>
          <t>ALTOS</t>
        </is>
      </c>
      <c r="C2652" s="2" t="inlineStr">
        <is>
          <t>US.RQ1TA.001_9</t>
        </is>
      </c>
      <c r="D2652" s="2" t="inlineStr">
        <is>
          <t>Сервер Altos BrainSphere R369 F4 2x4216 4x32Gb x10 2x1.92Tb 2.5" SSD 6G SATA 9361-8i 2G AST2500 i350 2P+10G 2P SFP+ 2x800W 1Y w/o OS (US.RQ1TA.001_9)</t>
        </is>
      </c>
      <c r="E2652" s="2">
        <v>4</v>
      </c>
      <c r="F2652" s="2">
        <v>4</v>
      </c>
      <c r="H2652" s="2">
        <v>3027</v>
      </c>
      <c r="I2652" s="2" t="inlineStr">
        <is>
          <t>$</t>
        </is>
      </c>
      <c r="J2652" s="2">
        <f>HYPERLINK("https://app.astro.lead-studio.pro/product/95935f0c-448d-4d2d-ab82-27adfbeca888")</f>
      </c>
    </row>
    <row r="2653" spans="1:10" customHeight="0">
      <c r="A2653" s="2" t="inlineStr">
        <is>
          <t>Серверы</t>
        </is>
      </c>
      <c r="B2653" s="2" t="inlineStr">
        <is>
          <t>ALTOS</t>
        </is>
      </c>
      <c r="C2653" s="2" t="inlineStr">
        <is>
          <t>US.RQ1TA.001_10</t>
        </is>
      </c>
      <c r="D2653" s="2" t="inlineStr">
        <is>
          <t>Сервер Altos BrainSphere R369 F4 2x6226R 4x32Gb x10 2x1.92Tb 2.5" SSD 6G SATA 7x600Gb 15K 2.5" SAS 9361-8i 2G AST2500 i350 2P+10G 2P SFP+ 2x800W 1Y w/o OS (US.RQ1TA.001_10)</t>
        </is>
      </c>
      <c r="E2653" s="2">
        <v>4</v>
      </c>
      <c r="F2653" s="2">
        <v>4</v>
      </c>
      <c r="H2653" s="2">
        <v>5238</v>
      </c>
      <c r="I2653" s="2" t="inlineStr">
        <is>
          <t>$</t>
        </is>
      </c>
      <c r="J2653" s="2">
        <f>HYPERLINK("https://app.astro.lead-studio.pro/product/e510e74d-6a28-4aba-9bf0-b04448ad17f0")</f>
      </c>
    </row>
    <row r="2654" spans="1:10" customHeight="0">
      <c r="A2654" s="2" t="inlineStr">
        <is>
          <t>Системы хранения данных (СХД)</t>
        </is>
      </c>
      <c r="B2654" s="2" t="inlineStr">
        <is>
          <t>FUJITSU</t>
        </is>
      </c>
      <c r="C2654" s="2" t="inlineStr">
        <is>
          <t>ET253SAF</t>
        </is>
      </c>
      <c r="D2654" s="2" t="inlineStr">
        <is>
          <t>Система хранения Fujitsu Eternus AF250 S3 x24 24x3.84Tb 2.5 SAS SSD CMx2 64GB 32G 8P 2x (ET253SAF)</t>
        </is>
      </c>
      <c r="E2654" s="2">
        <v>1</v>
      </c>
      <c r="F2654" s="2">
        <v>1</v>
      </c>
      <c r="H2654" s="2">
        <v>78869</v>
      </c>
      <c r="I2654" s="2" t="inlineStr">
        <is>
          <t>$</t>
        </is>
      </c>
      <c r="J2654" s="2">
        <f>HYPERLINK("https://app.astro.lead-studio.pro/product/82e1985e-8b36-450d-8a80-4a10387bd701")</f>
      </c>
    </row>
    <row r="2655" spans="1:10" customHeight="0">
      <c r="A2655" s="2" t="inlineStr">
        <is>
          <t>Системы хранения данных (СХД)</t>
        </is>
      </c>
      <c r="B2655" s="2" t="inlineStr">
        <is>
          <t>FUJITSU</t>
        </is>
      </c>
      <c r="C2655" s="2" t="inlineStr">
        <is>
          <t>ET253SAF</t>
        </is>
      </c>
      <c r="D2655" s="2" t="inlineStr">
        <is>
          <t>Система хранения Fujitsu Eternus AF250 S3 x24 12x3.84Tb 2.5 SAS SSD CMx2 64GB 32G 8P 2x (ET253SAF)</t>
        </is>
      </c>
      <c r="E2655" s="2">
        <v>1</v>
      </c>
      <c r="F2655" s="2">
        <v>1</v>
      </c>
      <c r="H2655" s="2">
        <v>56528</v>
      </c>
      <c r="I2655" s="2" t="inlineStr">
        <is>
          <t>$</t>
        </is>
      </c>
      <c r="J2655" s="2">
        <f>HYPERLINK("https://app.astro.lead-studio.pro/product/82e1985e-8b36-450d-8a80-4a10387bd701")</f>
      </c>
    </row>
    <row r="2656" spans="1:10" customHeight="0">
      <c r="A2656" s="2" t="inlineStr">
        <is>
          <t>Серверы</t>
        </is>
      </c>
      <c r="B2656" s="2" t="inlineStr">
        <is>
          <t>ALTOS</t>
        </is>
      </c>
      <c r="C2656" s="2" t="inlineStr">
        <is>
          <t>US.RMYTA.004_13</t>
        </is>
      </c>
      <c r="D2656" s="2" t="inlineStr">
        <is>
          <t>Сервер Altos BrainSphere R389 F4 2x6226R 4x32Gb x12 12x2.4Tb 10K 2.5" SAS 9361-8i 8P 2G AST2500 i350 2P+10G 2P SFP+ 2x800W 1Y w/o OS (US.RMYTA.004_13)</t>
        </is>
      </c>
      <c r="E2656" s="2">
        <v>1</v>
      </c>
      <c r="F2656" s="2">
        <v>1</v>
      </c>
      <c r="H2656" s="2">
        <v>5808</v>
      </c>
      <c r="I2656" s="2" t="inlineStr">
        <is>
          <t>$</t>
        </is>
      </c>
      <c r="J2656" s="2">
        <f>HYPERLINK("https://app.astro.lead-studio.pro/product/0f192254-4013-4542-a82f-e6fef36a1660")</f>
      </c>
    </row>
    <row r="2657" spans="1:10" customHeight="0">
      <c r="A2657" s="2" t="inlineStr">
        <is>
          <t>Серверы</t>
        </is>
      </c>
      <c r="B2657" s="2" t="inlineStr">
        <is>
          <t>ALTOS</t>
        </is>
      </c>
      <c r="C2657" s="2" t="inlineStr">
        <is>
          <t>US.RMYTA.004_14</t>
        </is>
      </c>
      <c r="D2657" s="2" t="inlineStr">
        <is>
          <t>Сервер Altos BrainSphere R389 F4 2x5220R 16x32Gb x12 2x960Gb 2.5" SSD 6G SATA 10x1.92Tb 2.5" SSD 6G SATA 9361-8i 8P 2G+BBU AST2500 i350 2P+10G 2P SFP+ 2x800W 1Y w/o OS (US.RMYTA.004_14)</t>
        </is>
      </c>
      <c r="E2657" s="2">
        <v>1</v>
      </c>
      <c r="F2657" s="2">
        <v>1</v>
      </c>
      <c r="H2657" s="2">
        <v>6662</v>
      </c>
      <c r="I2657" s="2" t="inlineStr">
        <is>
          <t>$</t>
        </is>
      </c>
      <c r="J2657" s="2">
        <f>HYPERLINK("https://app.astro.lead-studio.pro/product/ea1f4ea4-b73a-4ad5-9e77-de2b4099ba2d")</f>
      </c>
    </row>
    <row r="2658" spans="1:10" customHeight="0">
      <c r="A2658" s="2" t="inlineStr">
        <is>
          <t>Серверы</t>
        </is>
      </c>
      <c r="B2658" s="2" t="inlineStr">
        <is>
          <t>ALTOS</t>
        </is>
      </c>
      <c r="C2658" s="2" t="inlineStr">
        <is>
          <t>US.RMYTA.004_15</t>
        </is>
      </c>
      <c r="D2658" s="2" t="inlineStr">
        <is>
          <t>Сервер Altos BrainSphere R389 F4 2x5218R 8x32Gb x12 2x1.92Tb 2.5" SSD 6G SATA 10x6Tb 7.2K 3.5" SATA 9361-8i 8P 2G+BBU AST2500 i350 2P+10G 2P SFP+ 2x800W 1Y w/o OS (US.RMYTA.004_15)</t>
        </is>
      </c>
      <c r="E2658" s="2">
        <v>1</v>
      </c>
      <c r="F2658" s="2">
        <v>1</v>
      </c>
      <c r="H2658" s="2">
        <v>5925</v>
      </c>
      <c r="I2658" s="2" t="inlineStr">
        <is>
          <t>$</t>
        </is>
      </c>
      <c r="J2658" s="2">
        <f>HYPERLINK("https://app.astro.lead-studio.pro/product/3cd86671-3fc8-41c7-97df-37c58d15162e")</f>
      </c>
    </row>
    <row r="2659" spans="1:10" customHeight="0">
      <c r="A2659" s="2" t="inlineStr">
        <is>
          <t>Системы хранения данных (СХД)</t>
        </is>
      </c>
      <c r="B2659" s="2" t="inlineStr">
        <is>
          <t>NETAPP</t>
        </is>
      </c>
      <c r="C2659" s="2" t="inlineStr">
        <is>
          <t>AFF-A250A-001</t>
        </is>
      </c>
      <c r="D2659" s="2" t="inlineStr">
        <is>
          <t>Дисковый массив Netapp AFF A250 24x1.92Tb NVMe 2x1600W (AFF-A250A-001)</t>
        </is>
      </c>
      <c r="E2659" s="2">
        <v>3</v>
      </c>
      <c r="F2659" s="2">
        <v>3</v>
      </c>
      <c r="H2659" s="2">
        <v>89871</v>
      </c>
      <c r="I2659" s="2" t="inlineStr">
        <is>
          <t>$</t>
        </is>
      </c>
      <c r="J2659" s="2">
        <f>HYPERLINK("https://app.astro.lead-studio.pro/product/bc2cab98-184e-4684-abc5-77f823973972")</f>
      </c>
    </row>
    <row r="2660" spans="1:10" customHeight="0">
      <c r="A2660" s="2" t="inlineStr">
        <is>
          <t>Серверные опции</t>
        </is>
      </c>
      <c r="B2660" s="2" t="inlineStr">
        <is>
          <t>INTEL</t>
        </is>
      </c>
      <c r="C2660" s="2" t="inlineStr">
        <is>
          <t>CD8068904665802</t>
        </is>
      </c>
      <c r="D2660" s="2" t="inlineStr">
        <is>
          <t>Процессор Intel Xeon Gold 5315Y 12Mb 3.2Ghz (CD8068904665802)</t>
        </is>
      </c>
      <c r="E2660" s="2">
        <v>4</v>
      </c>
      <c r="F2660" s="2">
        <v>2</v>
      </c>
      <c r="H2660" s="2">
        <v>1481</v>
      </c>
      <c r="I2660" s="2" t="inlineStr">
        <is>
          <t>$</t>
        </is>
      </c>
      <c r="J2660" s="2">
        <f>HYPERLINK("https://app.astro.lead-studio.pro/product/93e32802-5355-4167-8674-1e8f908503b3")</f>
      </c>
    </row>
    <row r="2661" spans="1:10" customHeight="0">
      <c r="A2661" s="2" t="inlineStr">
        <is>
          <t>Серверные опции</t>
        </is>
      </c>
      <c r="B2661" s="2" t="inlineStr">
        <is>
          <t>INTEL</t>
        </is>
      </c>
      <c r="C2661" s="2" t="inlineStr">
        <is>
          <t>CD8068904572302</t>
        </is>
      </c>
      <c r="D2661" s="2" t="inlineStr">
        <is>
          <t>Процессор Intel Xeon Platinum 8358 48Mb 2.6Ghz (CD8068904572302)</t>
        </is>
      </c>
      <c r="E2661" s="2">
        <v>11</v>
      </c>
      <c r="F2661" s="2">
        <v>11</v>
      </c>
      <c r="H2661" s="2">
        <v>3774</v>
      </c>
      <c r="I2661" s="2" t="inlineStr">
        <is>
          <t>$</t>
        </is>
      </c>
      <c r="J2661" s="2">
        <f>HYPERLINK("https://app.astro.lead-studio.pro/product/05404b34-bf00-47f8-80ae-77971df9ec6e")</f>
      </c>
    </row>
    <row r="2662" spans="1:10" customHeight="0">
      <c r="A2662" s="2" t="inlineStr">
        <is>
          <t>Серверы</t>
        </is>
      </c>
      <c r="B2662" s="2" t="inlineStr">
        <is>
          <t>ALTOS</t>
        </is>
      </c>
      <c r="C2662" s="2" t="inlineStr">
        <is>
          <t>US.RMYTA.004_16</t>
        </is>
      </c>
      <c r="D2662" s="2" t="inlineStr">
        <is>
          <t>Сервер Altos BrainSphere R389 F4 2x6230R 8x64Gb x12 2x1.92Tb 2.5" SSD 6G SATA 10x2.4Tb 10K 3.5" SAS 9361-8i 8P 2G+BBU AST2500 i350 2P+10G 2P SFP+ 2x800W 1Y w/o OS (US.RMYTA.004_16)</t>
        </is>
      </c>
      <c r="E2662" s="2">
        <v>3</v>
      </c>
      <c r="F2662" s="2">
        <v>3</v>
      </c>
      <c r="H2662" s="2">
        <v>7799</v>
      </c>
      <c r="I2662" s="2" t="inlineStr">
        <is>
          <t>$</t>
        </is>
      </c>
      <c r="J2662" s="2">
        <f>HYPERLINK("https://app.astro.lead-studio.pro/product/430e8974-77f0-4773-a64f-23afe9fb60be")</f>
      </c>
    </row>
    <row r="2663" spans="1:10" customHeight="0">
      <c r="A2663" s="2" t="inlineStr">
        <is>
          <t>Серверы</t>
        </is>
      </c>
      <c r="B2663" s="2" t="inlineStr">
        <is>
          <t>ALTOS</t>
        </is>
      </c>
      <c r="C2663" s="2" t="inlineStr">
        <is>
          <t>US.RQ1TA.001_13</t>
        </is>
      </c>
      <c r="D2663" s="2" t="inlineStr">
        <is>
          <t>Сервер Altos BrainSphere R369 F4 2x6238R 8x32Gb x10 8x3.84Tb 2.5" SSD 6G SATA 9361-8i 8P 2G AST2500 i350 2P/10G 2P Converged RJ45 2x800W 1Y w/o OS (US.RQ1TA.001_13)</t>
        </is>
      </c>
      <c r="E2663" s="2">
        <v>1</v>
      </c>
      <c r="F2663" s="2">
        <v>1</v>
      </c>
      <c r="H2663" s="2">
        <v>7666</v>
      </c>
      <c r="I2663" s="2" t="inlineStr">
        <is>
          <t>$</t>
        </is>
      </c>
      <c r="J2663" s="2">
        <f>HYPERLINK("https://app.astro.lead-studio.pro/product/c682e9e7-abf2-4154-a50d-790f2f93ab2c")</f>
      </c>
    </row>
    <row r="2664" spans="1:10" customHeight="0">
      <c r="A2664" s="2" t="inlineStr">
        <is>
          <t>Серверные опции</t>
        </is>
      </c>
      <c r="B2664" s="2" t="inlineStr">
        <is>
          <t>INTEL</t>
        </is>
      </c>
      <c r="C2664" s="2" t="inlineStr">
        <is>
          <t>PK8071305072902</t>
        </is>
      </c>
      <c r="D2664" s="2" t="inlineStr">
        <is>
          <t>Процессор Intel Xeon Gold 6430 60Mb 2.1Ghz (PK8071305072902)</t>
        </is>
      </c>
      <c r="E2664" s="2">
        <v>11</v>
      </c>
      <c r="F2664" s="2">
        <v>5</v>
      </c>
      <c r="H2664" s="2">
        <v>1975</v>
      </c>
      <c r="I2664" s="2" t="inlineStr">
        <is>
          <t>$</t>
        </is>
      </c>
      <c r="J2664" s="2">
        <f>HYPERLINK("https://app.astro.lead-studio.pro/product/7c3cc9da-950c-40d6-b82f-cdf303d18273")</f>
      </c>
    </row>
    <row r="2665" spans="1:10" customHeight="0">
      <c r="A2665" s="2" t="inlineStr">
        <is>
          <t>Серверы</t>
        </is>
      </c>
      <c r="B2665" s="2" t="inlineStr">
        <is>
          <t>HPE</t>
        </is>
      </c>
      <c r="C2665" s="2" t="inlineStr">
        <is>
          <t>P54644-AA1</t>
        </is>
      </c>
      <c r="D2665" s="2" t="inlineStr">
        <is>
          <t>Сервер HPE ProLiant MicroServer Gen10 Plus 1xG6405 1x16Gb VROC 1G 4P 1x180W 4LFF-NHP (P54644-AA1)</t>
        </is>
      </c>
      <c r="E2665" s="2">
        <v>7</v>
      </c>
      <c r="F2665" s="2">
        <v>7</v>
      </c>
      <c r="H2665" s="2">
        <v>4207</v>
      </c>
      <c r="I2665" s="2" t="inlineStr">
        <is>
          <t>$</t>
        </is>
      </c>
      <c r="J2665" s="2">
        <f>HYPERLINK("https://app.astro.lead-studio.pro/product/e54e3b8f-5238-4ba0-a63a-81a18334ba8a")</f>
      </c>
    </row>
    <row r="2666" spans="1:10" customHeight="0">
      <c r="A2666" s="2" t="inlineStr">
        <is>
          <t>Системы хранения данных (СХД)</t>
        </is>
      </c>
      <c r="B2666" s="2" t="inlineStr">
        <is>
          <t>BROCADE</t>
        </is>
      </c>
      <c r="C2666" s="2" t="inlineStr">
        <is>
          <t>BR-G720-48-32G-R</t>
        </is>
      </c>
      <c r="D2666" s="2" t="inlineStr">
        <is>
          <t>Коммутатор Brocade BR-G720-48-32G-R G720 48-port/48-port switch + enterprise bundle</t>
        </is>
      </c>
      <c r="E2666" s="2">
        <v>4</v>
      </c>
      <c r="F2666" s="2">
        <v>4</v>
      </c>
      <c r="H2666" s="2">
        <v>46433</v>
      </c>
      <c r="I2666" s="2" t="inlineStr">
        <is>
          <t>$</t>
        </is>
      </c>
      <c r="J2666" s="2">
        <f>HYPERLINK("https://app.astro.lead-studio.pro/product/24fa0372-a5d7-4dec-ba78-1a2dde7f1cbb")</f>
      </c>
    </row>
    <row r="2667" spans="1:10" customHeight="0">
      <c r="A2667" s="2" t="inlineStr">
        <is>
          <t>Системы хранения данных (СХД)</t>
        </is>
      </c>
      <c r="B2667" s="2" t="inlineStr">
        <is>
          <t>BROCADE</t>
        </is>
      </c>
      <c r="C2667" s="2" t="inlineStr">
        <is>
          <t>BR-G720-56-32G-R</t>
        </is>
      </c>
      <c r="D2667" s="2" t="inlineStr">
        <is>
          <t>Коммутатор Brocade BR-G720-56-32G-R G720 56-port/56-port switch + enterprise bundle</t>
        </is>
      </c>
      <c r="E2667" s="2">
        <v>4</v>
      </c>
      <c r="F2667" s="2">
        <v>4</v>
      </c>
      <c r="H2667" s="2">
        <v>47348</v>
      </c>
      <c r="I2667" s="2" t="inlineStr">
        <is>
          <t>$</t>
        </is>
      </c>
      <c r="J2667" s="2">
        <f>HYPERLINK("https://app.astro.lead-studio.pro/product/0edb59c5-67f8-4ac3-ace0-564cf15ee7a0")</f>
      </c>
    </row>
    <row r="2668" spans="1:10" customHeight="0">
      <c r="A2668" s="2" t="inlineStr">
        <is>
          <t>Процессоры</t>
        </is>
      </c>
      <c r="B2668" s="2" t="inlineStr">
        <is>
          <t>AMD</t>
        </is>
      </c>
      <c r="C2668" s="2" t="inlineStr">
        <is>
          <t>100-000000662</t>
        </is>
      </c>
      <c r="D2668" s="2" t="inlineStr">
        <is>
          <t>Процессор AMD Ryzen 9 9900X AM5 (100-000000662) (4.4GHz/AMD Radeon) OEM</t>
        </is>
      </c>
      <c r="E2668" s="2">
        <v>19</v>
      </c>
      <c r="F2668" s="2">
        <v>19</v>
      </c>
      <c r="H2668" s="2">
        <v>565</v>
      </c>
      <c r="I2668" s="2" t="inlineStr">
        <is>
          <t>$</t>
        </is>
      </c>
      <c r="J2668" s="2">
        <f>HYPERLINK("https://app.astro.lead-studio.pro/product/6631bdff-828c-41f9-bce7-447557520672")</f>
      </c>
    </row>
    <row r="2669" spans="1:10" customHeight="0">
      <c r="A2669" s="2" t="inlineStr">
        <is>
          <t>Процессоры</t>
        </is>
      </c>
      <c r="B2669" s="2" t="inlineStr">
        <is>
          <t>AMD</t>
        </is>
      </c>
      <c r="C2669" s="2" t="inlineStr">
        <is>
          <t>100-000001277</t>
        </is>
      </c>
      <c r="D2669" s="2" t="inlineStr">
        <is>
          <t>Процессор AMD Ryzen 9 9950X AM5 (100-000001277) (4.3GHz/AMD Radeon) OEM</t>
        </is>
      </c>
      <c r="E2669" s="2">
        <v>112</v>
      </c>
      <c r="F2669" s="2">
        <v>111</v>
      </c>
      <c r="H2669" s="2">
        <v>808</v>
      </c>
      <c r="I2669" s="2" t="inlineStr">
        <is>
          <t>$</t>
        </is>
      </c>
      <c r="J2669" s="2">
        <f>HYPERLINK("https://app.astro.lead-studio.pro/product/6454c1c6-75ef-4779-b344-e2f0d21f1cff")</f>
      </c>
    </row>
    <row r="2670" spans="1:10" customHeight="0">
      <c r="A2670" s="2" t="inlineStr">
        <is>
          <t>Серверные опции</t>
        </is>
      </c>
      <c r="B2670" s="2" t="inlineStr">
        <is>
          <t>INTEL</t>
        </is>
      </c>
      <c r="C2670" s="2" t="inlineStr">
        <is>
          <t>PK8072205500100</t>
        </is>
      </c>
      <c r="D2670" s="2" t="inlineStr">
        <is>
          <t>Процессор Intel Xeon Gold 6542Y 60Mb 2.9Ghz (PK8072205500100)</t>
        </is>
      </c>
      <c r="E2670" s="2">
        <v>14</v>
      </c>
      <c r="F2670" s="2">
        <v>14</v>
      </c>
      <c r="H2670" s="2">
        <v>4164</v>
      </c>
      <c r="I2670" s="2" t="inlineStr">
        <is>
          <t>$</t>
        </is>
      </c>
      <c r="J2670" s="2">
        <f>HYPERLINK("https://app.astro.lead-studio.pro/product/cbe3f5e0-7d88-4976-98b0-243732ed7487")</f>
      </c>
    </row>
    <row r="2671" spans="1:10" customHeight="0">
      <c r="A2671" s="2" t="inlineStr">
        <is>
          <t>Платформы NUC</t>
        </is>
      </c>
      <c r="B2671" s="2" t="inlineStr">
        <is>
          <t>INTEL</t>
        </is>
      </c>
      <c r="C2671" s="2" t="inlineStr">
        <is>
          <t>RNUC11PAHI30Z00</t>
        </is>
      </c>
      <c r="D2671" s="2" t="inlineStr">
        <is>
          <t>Платформа Intel NUC RNUC11PAHI30Z00 4.1GHz 2xDDR4</t>
        </is>
      </c>
      <c r="E2671" s="2">
        <v>91</v>
      </c>
      <c r="F2671" s="2">
        <v>61</v>
      </c>
      <c r="H2671" s="2">
        <v>396</v>
      </c>
      <c r="I2671" s="2" t="inlineStr">
        <is>
          <t>$</t>
        </is>
      </c>
      <c r="J2671" s="2">
        <f>HYPERLINK("https://app.astro.lead-studio.pro/product/0af4ae24-faa2-49f8-989a-5e0e9a4c71a6")</f>
      </c>
    </row>
    <row r="2672" spans="1:10" customHeight="0">
      <c r="A2672" s="2" t="inlineStr">
        <is>
          <t>Системы хранения данных (СХД)</t>
        </is>
      </c>
      <c r="B2672" s="2" t="inlineStr">
        <is>
          <t>HDS</t>
        </is>
      </c>
      <c r="C2672" s="2" t="inlineStr">
        <is>
          <t>DW2-F850-DBSC.P</t>
        </is>
      </c>
      <c r="D2672" s="2" t="inlineStr">
        <is>
          <t>Дисковая полка HDS DBSC-12-1.9-12-2.4 x24 12x2.4Tb 10K 2.5 SAS 12x1.9Tb SAS SSD 2x600W (DW2-F850-DBSC.P)</t>
        </is>
      </c>
      <c r="E2672" s="2">
        <v>1</v>
      </c>
      <c r="F2672" s="2">
        <v>1</v>
      </c>
      <c r="H2672" s="2">
        <v>43437</v>
      </c>
      <c r="I2672" s="2" t="inlineStr">
        <is>
          <t>$</t>
        </is>
      </c>
      <c r="J2672" s="2">
        <f>HYPERLINK("https://app.astro.lead-studio.pro/product/5d34ac8b-f389-4fcd-b9ad-42c45a209ddc")</f>
      </c>
    </row>
    <row r="2673" spans="1:10" customHeight="0">
      <c r="A2673" s="2" t="inlineStr">
        <is>
          <t>Платформы NUC</t>
        </is>
      </c>
      <c r="B2673" s="2" t="inlineStr">
        <is>
          <t>INTEL</t>
        </is>
      </c>
      <c r="C2673" s="2" t="inlineStr">
        <is>
          <t>NUC11PAHI3</t>
        </is>
      </c>
      <c r="D2673" s="2" t="inlineStr">
        <is>
          <t>Платформа Intel NUC RNUC11PAHI30Z02 4.1GHz 2xDDR4</t>
        </is>
      </c>
      <c r="E2673" s="2">
        <v>162</v>
      </c>
      <c r="F2673" s="2">
        <v>162</v>
      </c>
      <c r="H2673" s="2">
        <v>457</v>
      </c>
      <c r="I2673" s="2" t="inlineStr">
        <is>
          <t>$</t>
        </is>
      </c>
      <c r="J2673" s="2">
        <f>HYPERLINK("https://app.astro.lead-studio.pro/product/028fea4b-f1ec-4b27-bc41-a4ca246dbe50")</f>
      </c>
    </row>
    <row r="2674" spans="1:10" customHeight="0">
      <c r="A2674" s="2" t="inlineStr">
        <is>
          <t>Системы хранения данных (СХД)</t>
        </is>
      </c>
      <c r="B2674" s="2" t="inlineStr">
        <is>
          <t>HDS</t>
        </is>
      </c>
      <c r="C2674" s="2" t="inlineStr">
        <is>
          <t>DW-F800-DB60C</t>
        </is>
      </c>
      <c r="D2674" s="2" t="inlineStr">
        <is>
          <t>Дисковая полка HDS DB60-60-6 x60 60x6Tb 7.2K 3.5 SAS NL 2x1650W (DW-F800-DB60C)</t>
        </is>
      </c>
      <c r="E2674" s="2">
        <v>2</v>
      </c>
      <c r="F2674" s="2">
        <v>2</v>
      </c>
      <c r="H2674" s="2">
        <v>23746</v>
      </c>
      <c r="I2674" s="2" t="inlineStr">
        <is>
          <t>$</t>
        </is>
      </c>
      <c r="J2674" s="2">
        <f>HYPERLINK("https://app.astro.lead-studio.pro/product/fea88b5f-45c3-4ccb-88a5-a6bd132c7d29")</f>
      </c>
    </row>
    <row r="2675" spans="1:10" customHeight="0">
      <c r="A2675" s="2" t="inlineStr">
        <is>
          <t>Системы хранения данных (СХД)</t>
        </is>
      </c>
      <c r="B2675" s="2" t="inlineStr">
        <is>
          <t>HITACHI</t>
        </is>
      </c>
      <c r="C2675" s="2" t="inlineStr">
        <is>
          <t>G400-8-8-4-10</t>
        </is>
      </c>
      <c r="D2675" s="2" t="inlineStr">
        <is>
          <t>Система хранения HDS VSP G400 8P 8Gbps FC + 4P 10GbE (G400-8-8-4-10)</t>
        </is>
      </c>
      <c r="E2675" s="2">
        <v>1</v>
      </c>
      <c r="F2675" s="2">
        <v>1</v>
      </c>
      <c r="H2675" s="2">
        <v>17100</v>
      </c>
      <c r="I2675" s="2" t="inlineStr">
        <is>
          <t>$</t>
        </is>
      </c>
      <c r="J2675" s="2">
        <f>HYPERLINK("https://app.astro.lead-studio.pro/product/0a0c8e37-4e6d-4dcc-9150-1596d149f7c8")</f>
      </c>
    </row>
    <row r="2676" spans="1:10" customHeight="0">
      <c r="A2676" s="2" t="inlineStr">
        <is>
          <t>Системы хранения данных (СХД)</t>
        </is>
      </c>
      <c r="B2676" s="2" t="inlineStr">
        <is>
          <t>HDS</t>
        </is>
      </c>
      <c r="C2676" s="2" t="inlineStr">
        <is>
          <t>HDW2-F800-DBSC.P</t>
        </is>
      </c>
      <c r="D2676" s="2" t="inlineStr">
        <is>
          <t>Дисковая полка HDS DBSC-8-800 x24 8x800Gb 2.5 SSD 2x600W (HDW2-F800-DBSC.P)</t>
        </is>
      </c>
      <c r="E2676" s="2">
        <v>1</v>
      </c>
      <c r="F2676" s="2">
        <v>1</v>
      </c>
      <c r="H2676" s="2">
        <v>8110</v>
      </c>
      <c r="I2676" s="2" t="inlineStr">
        <is>
          <t>$</t>
        </is>
      </c>
      <c r="J2676" s="2">
        <f>HYPERLINK("https://app.astro.lead-studio.pro/product/41ea6f5f-a7f0-4246-a2e9-ba5fb4464e19")</f>
      </c>
    </row>
    <row r="2677" spans="1:10" customHeight="0">
      <c r="A2677" s="2" t="inlineStr">
        <is>
          <t>Процессоры</t>
        </is>
      </c>
      <c r="B2677" s="2" t="inlineStr">
        <is>
          <t>AMD</t>
        </is>
      </c>
      <c r="C2677" s="2" t="inlineStr">
        <is>
          <t>100-000001350</t>
        </is>
      </c>
      <c r="D2677" s="2" t="inlineStr">
        <is>
          <t>Процессор AMD Ryzen Threadripper 7980x sTR5 (100-000001350) (3.2GHz/100MHz) OEM</t>
        </is>
      </c>
      <c r="E2677" s="2">
        <v>1</v>
      </c>
      <c r="F2677" s="2">
        <v>1</v>
      </c>
      <c r="H2677" s="2">
        <v>5812</v>
      </c>
      <c r="I2677" s="2" t="inlineStr">
        <is>
          <t>$</t>
        </is>
      </c>
      <c r="J2677" s="2">
        <f>HYPERLINK("https://app.astro.lead-studio.pro/product/36e39f52-92b8-4df0-bcdf-24396b1e05d1")</f>
      </c>
    </row>
    <row r="2678" spans="1:10" customHeight="0">
      <c r="A2678" s="2" t="inlineStr">
        <is>
          <t>Системы хранения данных (СХД)</t>
        </is>
      </c>
      <c r="B2678" s="2" t="inlineStr">
        <is>
          <t>NETAPP</t>
        </is>
      </c>
      <c r="C2678" s="2" t="inlineStr">
        <is>
          <t>A150HA-24-3.8</t>
        </is>
      </c>
      <c r="D2678" s="2" t="inlineStr">
        <is>
          <t>Система хранения Netapp AFF A150 x24 24x3.8Tb 2,5 SAS SSD 2x913W (A150HA-24-3.8)</t>
        </is>
      </c>
      <c r="E2678" s="2">
        <v>2</v>
      </c>
      <c r="F2678" s="2">
        <v>2</v>
      </c>
      <c r="H2678" s="2">
        <v>167898</v>
      </c>
      <c r="I2678" s="2" t="inlineStr">
        <is>
          <t>$</t>
        </is>
      </c>
      <c r="J2678" s="2">
        <f>HYPERLINK("https://app.astro.lead-studio.pro/product/e2288980-c8c9-4df7-866f-7dd375331765")</f>
      </c>
    </row>
    <row r="2679" spans="1:10" customHeight="0">
      <c r="A2679" s="2" t="inlineStr">
        <is>
          <t>Системы хранения данных (СХД)</t>
        </is>
      </c>
      <c r="B2679" s="2" t="inlineStr">
        <is>
          <t>NETAPP</t>
        </is>
      </c>
      <c r="C2679" s="2" t="inlineStr">
        <is>
          <t>FAS2820-4-25G-4-32G</t>
        </is>
      </c>
      <c r="D2679" s="2" t="inlineStr">
        <is>
          <t>Система хранения Netapp FAS FAS2820 4x32Gb DDR4 2x913W (FAS2820-4-25G-4-32G)</t>
        </is>
      </c>
      <c r="E2679" s="2">
        <v>2</v>
      </c>
      <c r="F2679" s="2">
        <v>2</v>
      </c>
      <c r="H2679" s="2">
        <v>10392</v>
      </c>
      <c r="I2679" s="2" t="inlineStr">
        <is>
          <t>$</t>
        </is>
      </c>
      <c r="J2679" s="2">
        <f>HYPERLINK("https://app.astro.lead-studio.pro/product/fb97eeb8-1bf8-4b09-b654-2b9b1f739f10")</f>
      </c>
    </row>
    <row r="2680" spans="1:10" customHeight="0">
      <c r="A2680" s="2" t="inlineStr">
        <is>
          <t>Системы хранения данных (СХД)</t>
        </is>
      </c>
      <c r="B2680" s="2" t="inlineStr">
        <is>
          <t>NETAPP</t>
        </is>
      </c>
      <c r="C2680" s="2" t="inlineStr">
        <is>
          <t>FAS2820HA-12-10</t>
        </is>
      </c>
      <c r="D2680" s="2" t="inlineStr">
        <is>
          <t>Система хранения Netapp FAS FAS2820 4x32Gb DDR4 12x10Tb 7.2K 3.5 NL SAS 2x913W (FAS2820HA-12-10)</t>
        </is>
      </c>
      <c r="E2680" s="2">
        <v>2</v>
      </c>
      <c r="F2680" s="2">
        <v>2</v>
      </c>
      <c r="H2680" s="2">
        <v>37046</v>
      </c>
      <c r="I2680" s="2" t="inlineStr">
        <is>
          <t>$</t>
        </is>
      </c>
      <c r="J2680" s="2">
        <f>HYPERLINK("https://app.astro.lead-studio.pro/product/baf6a90e-3db4-42c3-8955-e19482add166")</f>
      </c>
    </row>
    <row r="2681" spans="1:10" customHeight="0">
      <c r="A2681" s="2" t="inlineStr">
        <is>
          <t>Системы хранения данных (СХД)</t>
        </is>
      </c>
      <c r="B2681" s="2" t="inlineStr">
        <is>
          <t>NETAPP</t>
        </is>
      </c>
      <c r="C2681" s="2" t="inlineStr">
        <is>
          <t>DS224C-12-3.8</t>
        </is>
      </c>
      <c r="D2681" s="2" t="inlineStr">
        <is>
          <t>Дисковая полка Netapp DS224C-12-3.8 12x3.8Tb SSD 2x913W</t>
        </is>
      </c>
      <c r="E2681" s="2">
        <v>2</v>
      </c>
      <c r="F2681" s="2">
        <v>2</v>
      </c>
      <c r="H2681" s="2">
        <v>68012</v>
      </c>
      <c r="I2681" s="2" t="inlineStr">
        <is>
          <t>$</t>
        </is>
      </c>
      <c r="J2681" s="2">
        <f>HYPERLINK("https://app.astro.lead-studio.pro/product/8034c607-d5b1-4461-8b98-df1535678565")</f>
      </c>
    </row>
    <row r="2682" spans="1:10" customHeight="0">
      <c r="A2682" s="2" t="inlineStr">
        <is>
          <t>Серверные опции</t>
        </is>
      </c>
      <c r="B2682" s="2" t="inlineStr">
        <is>
          <t>HPE</t>
        </is>
      </c>
      <c r="C2682" s="2" t="inlineStr">
        <is>
          <t>Q2079AN</t>
        </is>
      </c>
      <c r="D2682" s="2" t="inlineStr">
        <is>
          <t>Картридж HPE Q2079AN LTO-9 45TB RW Non Cust Lbl 20 Crtg</t>
        </is>
      </c>
      <c r="E2682" s="2">
        <v>10</v>
      </c>
      <c r="F2682" s="2">
        <v>10</v>
      </c>
      <c r="H2682" s="2">
        <v>3239</v>
      </c>
      <c r="I2682" s="2" t="inlineStr">
        <is>
          <t>$</t>
        </is>
      </c>
      <c r="J2682" s="2">
        <f>HYPERLINK("https://app.astro.lead-studio.pro/product/987ba037-4f33-43c5-81ea-56225ebeffff")</f>
      </c>
    </row>
    <row r="2683" spans="1:10" customHeight="0">
      <c r="A2683" s="2" t="inlineStr">
        <is>
          <t>Серверные опции</t>
        </is>
      </c>
      <c r="B2683" s="2" t="inlineStr">
        <is>
          <t>HPE</t>
        </is>
      </c>
      <c r="C2683" s="2" t="inlineStr">
        <is>
          <t>C7977AN</t>
        </is>
      </c>
      <c r="D2683" s="2" t="inlineStr">
        <is>
          <t>Картридж HPE C7977AN LTO-7 Ultrium Non Custom Lbl 20 Pk</t>
        </is>
      </c>
      <c r="E2683" s="2">
        <v>9</v>
      </c>
      <c r="F2683" s="2">
        <v>8</v>
      </c>
      <c r="H2683" s="2">
        <v>1553</v>
      </c>
      <c r="I2683" s="2" t="inlineStr">
        <is>
          <t>$</t>
        </is>
      </c>
      <c r="J2683" s="2">
        <f>HYPERLINK("https://app.astro.lead-studio.pro/product/b797f0b8-8dbd-4f6b-98ee-555ab02311ee")</f>
      </c>
    </row>
    <row r="2684" spans="1:10" customHeight="0">
      <c r="A2684" s="2" t="inlineStr">
        <is>
          <t>Серверные опции</t>
        </is>
      </c>
      <c r="B2684" s="2" t="inlineStr">
        <is>
          <t>HPE</t>
        </is>
      </c>
      <c r="C2684" s="2" t="inlineStr">
        <is>
          <t>P64706-B21</t>
        </is>
      </c>
      <c r="D2684" s="2" t="inlineStr">
        <is>
          <t>Память DDR5 HPE P64706-B21 32Gb DIMM ECC Reg PC5-44800 CL46 5600MHz</t>
        </is>
      </c>
      <c r="E2684" s="2">
        <v>2</v>
      </c>
      <c r="F2684" s="2">
        <v>2</v>
      </c>
      <c r="H2684" s="2">
        <v>428</v>
      </c>
      <c r="I2684" s="2" t="inlineStr">
        <is>
          <t>$</t>
        </is>
      </c>
      <c r="J2684" s="2">
        <f>HYPERLINK("https://app.astro.lead-studio.pro/product/2ffae948-1f8d-473f-b8aa-c942f196ae07")</f>
      </c>
    </row>
    <row r="2685" spans="1:10" customHeight="0">
      <c r="A2685" s="2" t="inlineStr">
        <is>
          <t>Платформы NUC</t>
        </is>
      </c>
      <c r="B2685" s="2" t="inlineStr">
        <is>
          <t>INTEL</t>
        </is>
      </c>
      <c r="C2685" s="2" t="inlineStr">
        <is>
          <t>RNUC12WSHI50000I</t>
        </is>
      </c>
      <c r="D2685" s="2" t="inlineStr">
        <is>
          <t>Платформа Intel NUC12WSHI5 4.4GHz 2xDDR4</t>
        </is>
      </c>
      <c r="E2685" s="2">
        <v>26</v>
      </c>
      <c r="F2685" s="2">
        <v>26</v>
      </c>
      <c r="H2685" s="2">
        <v>730</v>
      </c>
      <c r="I2685" s="2" t="inlineStr">
        <is>
          <t>$</t>
        </is>
      </c>
      <c r="J2685" s="2">
        <f>HYPERLINK("https://app.astro.lead-studio.pro/product/1130165c-6b48-4811-b831-a12cbbae4e1f")</f>
      </c>
    </row>
    <row r="2686" spans="1:10" customHeight="0">
      <c r="A2686" s="2" t="inlineStr">
        <is>
          <t>Платформы NUC</t>
        </is>
      </c>
      <c r="B2686" s="2" t="inlineStr">
        <is>
          <t>INTEL</t>
        </is>
      </c>
      <c r="C2686" s="2" t="inlineStr">
        <is>
          <t>RNUC12WSKI500000I</t>
        </is>
      </c>
      <c r="D2686" s="2" t="inlineStr">
        <is>
          <t>Платформа Intel NUC12WSKI5 4.4GHz 2xDDR4</t>
        </is>
      </c>
      <c r="E2686" s="2">
        <v>48</v>
      </c>
      <c r="F2686" s="2">
        <v>48</v>
      </c>
      <c r="H2686" s="2">
        <v>732</v>
      </c>
      <c r="I2686" s="2" t="inlineStr">
        <is>
          <t>$</t>
        </is>
      </c>
      <c r="J2686" s="2">
        <f>HYPERLINK("https://app.astro.lead-studio.pro/product/4e927465-0618-467b-8060-16c603b372fa")</f>
      </c>
    </row>
    <row r="2687" spans="1:10" customHeight="0">
      <c r="A2687" s="2" t="inlineStr">
        <is>
          <t>Серверные опции</t>
        </is>
      </c>
      <c r="B2687" s="2" t="inlineStr">
        <is>
          <t>INTEL</t>
        </is>
      </c>
      <c r="C2687" s="2" t="inlineStr">
        <is>
          <t>PK8072205511800</t>
        </is>
      </c>
      <c r="D2687" s="2" t="inlineStr">
        <is>
          <t>Процессор Intel Xeon Platinum 8592+ 320Mb 1.9Ghz (PK8072205511800)</t>
        </is>
      </c>
      <c r="E2687" s="2">
        <v>1</v>
      </c>
      <c r="F2687" s="2">
        <v>1</v>
      </c>
      <c r="H2687" s="2">
        <v>10062</v>
      </c>
      <c r="I2687" s="2" t="inlineStr">
        <is>
          <t>$</t>
        </is>
      </c>
      <c r="J2687" s="2">
        <f>HYPERLINK("https://app.astro.lead-studio.pro/product/372490ff-22b0-4749-a6c5-2aed28e83469")</f>
      </c>
    </row>
    <row r="2688" spans="1:10" customHeight="0">
      <c r="A2688" s="2" t="inlineStr">
        <is>
          <t>Системы хранения данных (СХД)</t>
        </is>
      </c>
      <c r="B2688" s="2" t="inlineStr">
        <is>
          <t>HDS</t>
        </is>
      </c>
      <c r="C2688" s="2" t="inlineStr">
        <is>
          <t>3289081-A</t>
        </is>
      </c>
      <c r="D2688" s="2" t="inlineStr">
        <is>
          <t>Батарея HDS 3289081-A</t>
        </is>
      </c>
      <c r="E2688" s="2">
        <v>25</v>
      </c>
      <c r="F2688" s="2">
        <v>25</v>
      </c>
      <c r="H2688" s="2">
        <v>834</v>
      </c>
      <c r="I2688" s="2" t="inlineStr">
        <is>
          <t>$</t>
        </is>
      </c>
      <c r="J2688" s="2">
        <f>HYPERLINK("https://app.astro.lead-studio.pro/product/76863273-e777-419c-9966-239fc861958e")</f>
      </c>
    </row>
    <row r="2689" spans="1:10" customHeight="0">
      <c r="A2689" s="2" t="inlineStr">
        <is>
          <t>Системы хранения данных (СХД)</t>
        </is>
      </c>
      <c r="B2689" s="2" t="inlineStr">
        <is>
          <t>HDS</t>
        </is>
      </c>
      <c r="C2689" s="2" t="inlineStr">
        <is>
          <t>DW2-F850-DBSC.P</t>
        </is>
      </c>
      <c r="D2689" s="2" t="inlineStr">
        <is>
          <t>Дисковая полка HDS DBSC-13-2.4 x24 13x2.4Tb 10K 2.5 SAS 2x600W (DW2-F850-DBSC.P)</t>
        </is>
      </c>
      <c r="E2689" s="2">
        <v>1</v>
      </c>
      <c r="F2689" s="2">
        <v>1</v>
      </c>
      <c r="H2689" s="2">
        <v>17027</v>
      </c>
      <c r="I2689" s="2" t="inlineStr">
        <is>
          <t>$</t>
        </is>
      </c>
      <c r="J2689" s="2">
        <f>HYPERLINK("https://app.astro.lead-studio.pro/product/5d34ac8b-f389-4fcd-b9ad-42c45a209ddc")</f>
      </c>
    </row>
    <row r="2690" spans="1:10" customHeight="0">
      <c r="A2690" s="2" t="inlineStr">
        <is>
          <t>Платформы NUC</t>
        </is>
      </c>
      <c r="B2690" s="2" t="inlineStr">
        <is>
          <t>INTEL</t>
        </is>
      </c>
      <c r="C2690" s="2" t="inlineStr">
        <is>
          <t>RNUC12WSKV50001</t>
        </is>
      </c>
      <c r="D2690" s="2" t="inlineStr">
        <is>
          <t>Платформа Intel NUC NUC12WSKv5 4.4GHz 2xDDR4</t>
        </is>
      </c>
      <c r="E2690" s="2">
        <v>150</v>
      </c>
      <c r="F2690" s="2">
        <v>149</v>
      </c>
      <c r="H2690" s="2">
        <v>740</v>
      </c>
      <c r="I2690" s="2" t="inlineStr">
        <is>
          <t>$</t>
        </is>
      </c>
      <c r="J2690" s="2">
        <f>HYPERLINK("https://app.astro.lead-studio.pro/product/1a7f8b4b-9fef-4605-b0e2-49c7f1da22b4")</f>
      </c>
    </row>
    <row r="2691" spans="1:10" customHeight="0">
      <c r="A2691" s="2" t="inlineStr">
        <is>
          <t>Платформы NUC</t>
        </is>
      </c>
      <c r="B2691" s="2" t="inlineStr">
        <is>
          <t>INTEL</t>
        </is>
      </c>
      <c r="C2691" s="2" t="inlineStr">
        <is>
          <t>RNUC12WSHV50001</t>
        </is>
      </c>
      <c r="D2691" s="2" t="inlineStr">
        <is>
          <t>Платформа Intel NUC NUC12WSHv5 4.4GHz 2xDDR4</t>
        </is>
      </c>
      <c r="E2691" s="2">
        <v>149</v>
      </c>
      <c r="F2691" s="2">
        <v>149</v>
      </c>
      <c r="H2691" s="2">
        <v>742</v>
      </c>
      <c r="I2691" s="2" t="inlineStr">
        <is>
          <t>$</t>
        </is>
      </c>
      <c r="J2691" s="2">
        <f>HYPERLINK("https://app.astro.lead-studio.pro/product/9069b44f-35bd-47b2-91b1-bb927ecff968")</f>
      </c>
    </row>
    <row r="2692" spans="1:10" customHeight="0">
      <c r="A2692" s="2" t="inlineStr">
        <is>
          <t>Платформы NUC</t>
        </is>
      </c>
      <c r="B2692" s="2" t="inlineStr">
        <is>
          <t>INTEL</t>
        </is>
      </c>
      <c r="C2692" s="2" t="inlineStr">
        <is>
          <t>RNUC12WSKV70000</t>
        </is>
      </c>
      <c r="D2692" s="2" t="inlineStr">
        <is>
          <t>Платформа Intel NUC NUC12WSKv7 4.7GHz 2xDDR4</t>
        </is>
      </c>
      <c r="E2692" s="2">
        <v>88</v>
      </c>
      <c r="F2692" s="2">
        <v>88</v>
      </c>
      <c r="H2692" s="2">
        <v>871</v>
      </c>
      <c r="I2692" s="2" t="inlineStr">
        <is>
          <t>$</t>
        </is>
      </c>
      <c r="J2692" s="2">
        <f>HYPERLINK("https://app.astro.lead-studio.pro/product/faa0cd1b-efe6-4815-8756-06bebb656d10")</f>
      </c>
    </row>
    <row r="2693" spans="1:10" customHeight="0">
      <c r="A2693" s="2" t="inlineStr">
        <is>
          <t>Системы хранения данных (СХД)</t>
        </is>
      </c>
      <c r="B2693" s="2" t="inlineStr">
        <is>
          <t>HPE</t>
        </is>
      </c>
      <c r="C2693" s="2" t="inlineStr">
        <is>
          <t>R0Q40B</t>
        </is>
      </c>
      <c r="D2693" s="2" t="inlineStr">
        <is>
          <t>Дисковая полка HPE MSA 2060 x24 SFF SAS (R0Q40B)</t>
        </is>
      </c>
      <c r="E2693" s="2">
        <v>1</v>
      </c>
      <c r="F2693" s="2">
        <v>1</v>
      </c>
      <c r="H2693" s="2">
        <v>12726</v>
      </c>
      <c r="I2693" s="2" t="inlineStr">
        <is>
          <t>$</t>
        </is>
      </c>
      <c r="J2693" s="2">
        <f>HYPERLINK("https://app.astro.lead-studio.pro/product/2cb5eb02-397e-4332-baf2-83dd67efc1c2")</f>
      </c>
    </row>
    <row r="2694" spans="1:10" customHeight="0">
      <c r="A2694" s="2" t="inlineStr">
        <is>
          <t>Серверные опции</t>
        </is>
      </c>
      <c r="B2694" s="2" t="inlineStr">
        <is>
          <t>INTEL</t>
        </is>
      </c>
      <c r="C2694" s="2" t="inlineStr">
        <is>
          <t>PK8071305082100</t>
        </is>
      </c>
      <c r="D2694" s="2" t="inlineStr">
        <is>
          <t>Процессор Intel Xeon W5-3425 19.25Mb 3.2Ghz (PK8071305082100)</t>
        </is>
      </c>
      <c r="E2694" s="2">
        <v>6</v>
      </c>
      <c r="F2694" s="2">
        <v>6</v>
      </c>
      <c r="H2694" s="2">
        <v>1865</v>
      </c>
      <c r="I2694" s="2" t="inlineStr">
        <is>
          <t>$</t>
        </is>
      </c>
      <c r="J2694" s="2">
        <f>HYPERLINK("https://app.astro.lead-studio.pro/product/72e309ca-2b04-4b76-acbe-ac9a4f5a761e")</f>
      </c>
    </row>
    <row r="2695" spans="1:10" customHeight="0">
      <c r="A2695" s="2" t="inlineStr">
        <is>
          <t>Процессоры</t>
        </is>
      </c>
      <c r="B2695" s="2" t="inlineStr">
        <is>
          <t>INTEL</t>
        </is>
      </c>
      <c r="C2695" s="2" t="inlineStr">
        <is>
          <t>AT807680640F</t>
        </is>
      </c>
      <c r="D2695" s="2" t="inlineStr">
        <is>
          <t>Процессор Intel Core Ultra 5 245K Soc-1851 (AT807680640F) (4.2GHz/Intel Graphics) OEM</t>
        </is>
      </c>
      <c r="E2695" s="2">
        <v>3</v>
      </c>
      <c r="F2695" s="2">
        <v>2</v>
      </c>
      <c r="H2695" s="2">
        <v>393</v>
      </c>
      <c r="I2695" s="2" t="inlineStr">
        <is>
          <t>$</t>
        </is>
      </c>
      <c r="J2695" s="2">
        <f>HYPERLINK("https://app.astro.lead-studio.pro/product/82bc89e0-0278-4bd9-9198-01155bc2547a")</f>
      </c>
    </row>
    <row r="2696" spans="1:10" customHeight="0">
      <c r="A2696" s="2" t="inlineStr">
        <is>
          <t>Процессоры</t>
        </is>
      </c>
      <c r="B2696" s="2" t="inlineStr">
        <is>
          <t>INTEL</t>
        </is>
      </c>
      <c r="C2696" s="2" t="inlineStr">
        <is>
          <t>AT8076806410</t>
        </is>
      </c>
      <c r="D2696" s="2" t="inlineStr">
        <is>
          <t>Процессор Intel Core Ultra 7 265KF Soc-1851 (AT8076806410) (3.9GHz) OEM</t>
        </is>
      </c>
      <c r="E2696" s="2">
        <v>21</v>
      </c>
      <c r="F2696" s="2">
        <v>15</v>
      </c>
      <c r="H2696" s="2">
        <v>512</v>
      </c>
      <c r="I2696" s="2" t="inlineStr">
        <is>
          <t>$</t>
        </is>
      </c>
      <c r="J2696" s="2">
        <f>HYPERLINK("https://app.astro.lead-studio.pro/product/abacf3ac-6432-4c72-87c6-55c595333ad5")</f>
      </c>
    </row>
    <row r="2697" spans="1:10" customHeight="0">
      <c r="A2697" s="2" t="inlineStr">
        <is>
          <t>Процессоры</t>
        </is>
      </c>
      <c r="B2697" s="2" t="inlineStr">
        <is>
          <t>AMD</t>
        </is>
      </c>
      <c r="C2697" s="2" t="inlineStr">
        <is>
          <t>100-000001721</t>
        </is>
      </c>
      <c r="D2697" s="2" t="inlineStr">
        <is>
          <t>Процессор AMD Ryzen 5 7600x3d AM5 (100-000001721) (4.1GHz/AMD Radeon) OEM</t>
        </is>
      </c>
      <c r="E2697" s="2">
        <v>84</v>
      </c>
      <c r="F2697" s="2">
        <v>84</v>
      </c>
      <c r="H2697" s="2">
        <v>441</v>
      </c>
      <c r="I2697" s="2" t="inlineStr">
        <is>
          <t>$</t>
        </is>
      </c>
      <c r="J2697" s="2">
        <f>HYPERLINK("https://app.astro.lead-studio.pro/product/2dd9a2cb-300b-47db-9f8e-68f89be2dca1")</f>
      </c>
    </row>
    <row r="2698" spans="1:10" customHeight="0">
      <c r="A2698" s="2" t="inlineStr">
        <is>
          <t>Системы хранения данных (СХД)</t>
        </is>
      </c>
      <c r="B2698" s="2" t="inlineStr">
        <is>
          <t>HPE</t>
        </is>
      </c>
      <c r="C2698" s="2" t="inlineStr">
        <is>
          <t>R0Q74B</t>
        </is>
      </c>
      <c r="D2698" s="2" t="inlineStr">
        <is>
          <t>Система хранения HPE MSA 2060 SFF 16G FC (R0Q74B)</t>
        </is>
      </c>
      <c r="E2698" s="2">
        <v>2</v>
      </c>
      <c r="F2698" s="2">
        <v>2</v>
      </c>
      <c r="H2698" s="2">
        <v>13590</v>
      </c>
      <c r="I2698" s="2" t="inlineStr">
        <is>
          <t>$</t>
        </is>
      </c>
      <c r="J2698" s="2">
        <f>HYPERLINK("https://app.astro.lead-studio.pro/product/dbfab960-0fa1-4769-a7f7-640afc180fb7")</f>
      </c>
    </row>
    <row r="2699" spans="1:10" customHeight="0">
      <c r="A2699" s="2" t="inlineStr">
        <is>
          <t>Серверные опции</t>
        </is>
      </c>
      <c r="B2699" s="2" t="inlineStr">
        <is>
          <t>INTEL</t>
        </is>
      </c>
      <c r="C2699" s="2" t="inlineStr">
        <is>
          <t>PK8071305072501</t>
        </is>
      </c>
      <c r="D2699" s="2" t="inlineStr">
        <is>
          <t>Процессор Intel Xeon Platinum 8468 105Mb 2.1Ghz (PK8071305072501)</t>
        </is>
      </c>
      <c r="E2699" s="2">
        <v>1</v>
      </c>
      <c r="F2699" s="2">
        <v>1</v>
      </c>
      <c r="H2699" s="2">
        <v>5837</v>
      </c>
      <c r="I2699" s="2" t="inlineStr">
        <is>
          <t>$</t>
        </is>
      </c>
      <c r="J2699" s="2">
        <f>HYPERLINK("https://app.astro.lead-studio.pro/product/6de8ec7e-b5ab-44f3-9e58-5b2d3ac8907f")</f>
      </c>
    </row>
    <row r="2700" spans="1:10" customHeight="0">
      <c r="A2700" s="2" t="inlineStr">
        <is>
          <t>Серверные опции</t>
        </is>
      </c>
      <c r="B2700" s="2" t="inlineStr">
        <is>
          <t>NETAPP</t>
        </is>
      </c>
      <c r="C2700" s="2" t="inlineStr">
        <is>
          <t>X4018A</t>
        </is>
      </c>
      <c r="D2700" s="2" t="inlineStr">
        <is>
          <t>Накопитель SSD Netapp 1.92TB NVMe X4018A Hot Swapp 2.5"</t>
        </is>
      </c>
      <c r="E2700" s="2">
        <v>10</v>
      </c>
      <c r="F2700" s="2">
        <v>10</v>
      </c>
      <c r="H2700" s="2">
        <v>2450</v>
      </c>
      <c r="I2700" s="2" t="inlineStr">
        <is>
          <t>$</t>
        </is>
      </c>
      <c r="J2700" s="2">
        <f>HYPERLINK("https://app.astro.lead-studio.pro/product/eabaf784-d22c-4096-9b29-b10e0bba8555")</f>
      </c>
    </row>
    <row r="2701" spans="1:10" customHeight="0">
      <c r="A2701" s="2" t="inlineStr">
        <is>
          <t>Процессоры</t>
        </is>
      </c>
      <c r="B2701" s="2" t="inlineStr">
        <is>
          <t>INTEL</t>
        </is>
      </c>
      <c r="C2701" s="2" t="inlineStr">
        <is>
          <t>AT8076806414</t>
        </is>
      </c>
      <c r="D2701" s="2" t="inlineStr">
        <is>
          <t>Процессор Intel Core Ultra 5 245KF Soc-1851 (AT8076806414) (4.2GHz) OEM</t>
        </is>
      </c>
      <c r="E2701" s="2">
        <v>3</v>
      </c>
      <c r="F2701" s="2">
        <v>3</v>
      </c>
      <c r="H2701" s="2">
        <v>382</v>
      </c>
      <c r="I2701" s="2" t="inlineStr">
        <is>
          <t>$</t>
        </is>
      </c>
      <c r="J2701" s="2">
        <f>HYPERLINK("https://app.astro.lead-studio.pro/product/f6d060a0-292e-4e14-9e5b-4af6d0dc6a06")</f>
      </c>
    </row>
    <row r="2702" spans="1:10" customHeight="0">
      <c r="A2702" s="2" t="inlineStr">
        <is>
          <t>Серверы</t>
        </is>
      </c>
      <c r="B2702" s="2" t="inlineStr">
        <is>
          <t>HPE</t>
        </is>
      </c>
      <c r="D2702" s="2" t="inlineStr">
        <is>
          <t>Сервер HPE DL360 Gen10+ 8SFF NC CTO</t>
        </is>
      </c>
      <c r="E2702" s="2">
        <v>2</v>
      </c>
      <c r="F2702" s="2">
        <v>2</v>
      </c>
      <c r="H2702" s="2">
        <v>20189</v>
      </c>
      <c r="I2702" s="2" t="inlineStr">
        <is>
          <t>$</t>
        </is>
      </c>
    </row>
    <row r="2703" spans="1:10" customHeight="0">
      <c r="A2703" s="2" t="inlineStr">
        <is>
          <t>Телефония</t>
        </is>
      </c>
      <c r="B2703" s="2" t="inlineStr">
        <is>
          <t>UNIFY COMMUNICATIONS</t>
        </is>
      </c>
      <c r="C2703" s="2" t="inlineStr">
        <is>
          <t>L30250-F600-C428</t>
        </is>
      </c>
      <c r="D2703" s="2" t="inlineStr">
        <is>
          <t>Телефон IP Unify OpenScape CP600 черный (L30250-F600-C428)</t>
        </is>
      </c>
      <c r="E2703" s="2">
        <v>2</v>
      </c>
      <c r="F2703" s="2">
        <v>2</v>
      </c>
      <c r="H2703" s="2">
        <v>398</v>
      </c>
      <c r="I2703" s="2" t="inlineStr">
        <is>
          <t>$</t>
        </is>
      </c>
      <c r="J2703" s="2">
        <f>HYPERLINK("https://app.astro.lead-studio.pro/product/16a92ae2-cb2f-4781-9793-ea83c079244d")</f>
      </c>
    </row>
    <row r="2704" spans="1:10" customHeight="0">
      <c r="A2704" s="2" t="inlineStr">
        <is>
          <t>Телефония</t>
        </is>
      </c>
      <c r="B2704" s="2" t="inlineStr">
        <is>
          <t>UNIFY COMMUNICATIONS</t>
        </is>
      </c>
      <c r="C2704" s="2" t="inlineStr">
        <is>
          <t>L30250-F600-C430</t>
        </is>
      </c>
      <c r="D2704" s="2" t="inlineStr">
        <is>
          <t>Модуль расширения Unify OpenScape Key Module 600 L30250-F600-C430</t>
        </is>
      </c>
      <c r="E2704" s="2">
        <v>1</v>
      </c>
      <c r="F2704" s="2">
        <v>1</v>
      </c>
      <c r="H2704" s="2">
        <v>363</v>
      </c>
      <c r="I2704" s="2" t="inlineStr">
        <is>
          <t>$</t>
        </is>
      </c>
      <c r="J2704" s="2">
        <f>HYPERLINK("https://app.astro.lead-studio.pro/product/00c106b0-b5cc-4596-ba00-b2f262c70a6d")</f>
      </c>
    </row>
    <row r="2705" spans="1:10" customHeight="0">
      <c r="A2705" s="2" t="inlineStr">
        <is>
          <t>Серверные опции</t>
        </is>
      </c>
      <c r="B2705" s="2" t="inlineStr">
        <is>
          <t>INTEL</t>
        </is>
      </c>
      <c r="C2705" s="2" t="inlineStr">
        <is>
          <t>CM8066002041900</t>
        </is>
      </c>
      <c r="D2705" s="2" t="inlineStr">
        <is>
          <t>Процессор Intel Original Xeon E5-2667 v4 25Mb 3.2Ghz (CM8066002041900)</t>
        </is>
      </c>
      <c r="E2705" s="2">
        <v>10</v>
      </c>
      <c r="F2705" s="2">
        <v>10</v>
      </c>
      <c r="H2705" s="2">
        <v>341</v>
      </c>
      <c r="I2705" s="2" t="inlineStr">
        <is>
          <t>$</t>
        </is>
      </c>
      <c r="J2705" s="2">
        <f>HYPERLINK("https://app.astro.lead-studio.pro/product/b736a978-8931-44ee-8a14-d84718ad4b7c")</f>
      </c>
    </row>
    <row r="2706" spans="1:10" customHeight="0">
      <c r="A2706" s="2" t="inlineStr">
        <is>
          <t>Телефония</t>
        </is>
      </c>
      <c r="B2706" s="2" t="inlineStr">
        <is>
          <t>UNIFY COMMUNICATIONS</t>
        </is>
      </c>
      <c r="C2706" s="2" t="inlineStr">
        <is>
          <t>L30220-Y600-M21</t>
        </is>
      </c>
      <c r="D2706" s="2" t="inlineStr">
        <is>
          <t>Дополнительный функционал Unify L30220-Y600-M21 for HiPath 4000 Expansion Order</t>
        </is>
      </c>
      <c r="E2706" s="2">
        <v>2</v>
      </c>
      <c r="F2706" s="2">
        <v>2</v>
      </c>
      <c r="H2706" s="2">
        <v>541</v>
      </c>
      <c r="I2706" s="2" t="inlineStr">
        <is>
          <t>$</t>
        </is>
      </c>
      <c r="J2706" s="2">
        <f>HYPERLINK("https://app.astro.lead-studio.pro/product/10a63c5f-d6ca-42d9-8037-71a051be2215")</f>
      </c>
    </row>
    <row r="2707" spans="1:10" customHeight="0">
      <c r="A2707" s="2" t="inlineStr">
        <is>
          <t>Cетевое оборудование</t>
        </is>
      </c>
      <c r="B2707" s="2" t="inlineStr">
        <is>
          <t>HUAWEI</t>
        </is>
      </c>
      <c r="C2707" s="2" t="inlineStr">
        <is>
          <t>02317346</t>
        </is>
      </c>
      <c r="D2707" s="2" t="inlineStr">
        <is>
          <t>Трансивер Huawei 02317346 eSFP SM Tx:1310нм до 40км</t>
        </is>
      </c>
      <c r="E2707" s="2">
        <v>2</v>
      </c>
      <c r="F2707" s="2">
        <v>2</v>
      </c>
      <c r="H2707" s="2">
        <v>442</v>
      </c>
      <c r="I2707" s="2" t="inlineStr">
        <is>
          <t>$</t>
        </is>
      </c>
      <c r="J2707" s="2">
        <f>HYPERLINK("https://app.astro.lead-studio.pro/product/87a00df9-942f-43be-afcc-c3930e3bfbcc")</f>
      </c>
    </row>
    <row r="2708" spans="1:10" customHeight="0">
      <c r="A2708" s="2" t="inlineStr">
        <is>
          <t>Проекционное оборудование</t>
        </is>
      </c>
      <c r="B2708" s="2" t="inlineStr">
        <is>
          <t>ABSEN</t>
        </is>
      </c>
      <c r="D2708" s="2" t="inlineStr">
        <is>
          <t>Инструмент для монтажа Absen Vacuum Tool</t>
        </is>
      </c>
      <c r="E2708" s="2" t="inlineStr">
        <is>
          <t>+ </t>
        </is>
      </c>
      <c r="F2708" s="2" t="inlineStr">
        <is>
          <t>+ </t>
        </is>
      </c>
      <c r="H2708" s="2">
        <v>409</v>
      </c>
      <c r="I2708" s="2" t="inlineStr">
        <is>
          <t>$</t>
        </is>
      </c>
    </row>
    <row r="2709" spans="1:10" customHeight="0">
      <c r="A2709" s="2" t="inlineStr">
        <is>
          <t>Проекционное оборудование</t>
        </is>
      </c>
      <c r="B2709" s="2" t="inlineStr">
        <is>
          <t>ABSEN</t>
        </is>
      </c>
      <c r="D2709" s="2" t="inlineStr">
        <is>
          <t>Контроллер Absen Nova VX4S-N</t>
        </is>
      </c>
      <c r="E2709" s="2" t="inlineStr">
        <is>
          <t>+ </t>
        </is>
      </c>
      <c r="F2709" s="2" t="inlineStr">
        <is>
          <t>+ </t>
        </is>
      </c>
      <c r="H2709" s="2">
        <v>1108</v>
      </c>
      <c r="I2709" s="2" t="inlineStr">
        <is>
          <t>$</t>
        </is>
      </c>
    </row>
    <row r="2710" spans="1:10" customHeight="0">
      <c r="A2710" s="2" t="inlineStr">
        <is>
          <t>Проекционное оборудование</t>
        </is>
      </c>
      <c r="B2710" s="2" t="inlineStr">
        <is>
          <t>ABSEN</t>
        </is>
      </c>
      <c r="D2710" s="2" t="inlineStr">
        <is>
          <t>Модуль Absen A2715 PLUS 152.5 x 343mm</t>
        </is>
      </c>
      <c r="E2710" s="2" t="inlineStr">
        <is>
          <t>+ </t>
        </is>
      </c>
      <c r="F2710" s="2" t="inlineStr">
        <is>
          <t>+ </t>
        </is>
      </c>
      <c r="H2710" s="2">
        <v>456</v>
      </c>
      <c r="I2710" s="2" t="inlineStr">
        <is>
          <t>$</t>
        </is>
      </c>
    </row>
    <row r="2711" spans="1:10" customHeight="0">
      <c r="A2711" s="2" t="inlineStr">
        <is>
          <t>Проекционное оборудование</t>
        </is>
      </c>
      <c r="B2711" s="2" t="inlineStr">
        <is>
          <t>ABSEN</t>
        </is>
      </c>
      <c r="D2711" s="2" t="inlineStr">
        <is>
          <t>Стойка Absen ICON3.0 C110S</t>
        </is>
      </c>
      <c r="E2711" s="2" t="inlineStr">
        <is>
          <t>+ </t>
        </is>
      </c>
      <c r="F2711" s="2" t="inlineStr">
        <is>
          <t>+ </t>
        </is>
      </c>
      <c r="H2711" s="2">
        <v>1629</v>
      </c>
      <c r="I2711" s="2" t="inlineStr">
        <is>
          <t>$</t>
        </is>
      </c>
    </row>
    <row r="2712" spans="1:10" customHeight="0">
      <c r="A2712" s="2" t="inlineStr">
        <is>
          <t>Проекционное оборудование</t>
        </is>
      </c>
      <c r="B2712" s="2" t="inlineStr">
        <is>
          <t>ABSEN</t>
        </is>
      </c>
      <c r="D2712" s="2" t="inlineStr">
        <is>
          <t>Стойка Absen ICON3.0 C138</t>
        </is>
      </c>
      <c r="E2712" s="2" t="inlineStr">
        <is>
          <t>+ </t>
        </is>
      </c>
      <c r="F2712" s="2" t="inlineStr">
        <is>
          <t>+ </t>
        </is>
      </c>
      <c r="H2712" s="2">
        <v>1487</v>
      </c>
      <c r="I2712" s="2" t="inlineStr">
        <is>
          <t>$</t>
        </is>
      </c>
    </row>
    <row r="2713" spans="1:10" customHeight="0">
      <c r="A2713" s="2" t="inlineStr">
        <is>
          <t>Проекционное оборудование</t>
        </is>
      </c>
      <c r="B2713" s="2" t="inlineStr">
        <is>
          <t>ABSEN</t>
        </is>
      </c>
      <c r="D2713" s="2" t="inlineStr">
        <is>
          <t>Стойка Absen ICON3.0 C138S</t>
        </is>
      </c>
      <c r="E2713" s="2" t="inlineStr">
        <is>
          <t>+ </t>
        </is>
      </c>
      <c r="F2713" s="2" t="inlineStr">
        <is>
          <t>+ </t>
        </is>
      </c>
      <c r="H2713" s="2">
        <v>1674</v>
      </c>
      <c r="I2713" s="2" t="inlineStr">
        <is>
          <t>$</t>
        </is>
      </c>
    </row>
    <row r="2714" spans="1:10" customHeight="0">
      <c r="A2714" s="2" t="inlineStr">
        <is>
          <t>Проекционное оборудование</t>
        </is>
      </c>
      <c r="B2714" s="2" t="inlineStr">
        <is>
          <t>ABSEN</t>
        </is>
      </c>
      <c r="D2714" s="2" t="inlineStr">
        <is>
          <t>Экран LED Absen iCon 3.0 C110</t>
        </is>
      </c>
      <c r="E2714" s="2" t="inlineStr">
        <is>
          <t>+ </t>
        </is>
      </c>
      <c r="F2714" s="2" t="inlineStr">
        <is>
          <t>+ </t>
        </is>
      </c>
      <c r="H2714" s="2">
        <v>63838</v>
      </c>
      <c r="I2714" s="2" t="inlineStr">
        <is>
          <t>$</t>
        </is>
      </c>
    </row>
    <row r="2715" spans="1:10" customHeight="0">
      <c r="A2715" s="2" t="inlineStr">
        <is>
          <t>Проекционное оборудование</t>
        </is>
      </c>
      <c r="B2715" s="2" t="inlineStr">
        <is>
          <t>ABSEN</t>
        </is>
      </c>
      <c r="D2715" s="2" t="inlineStr">
        <is>
          <t>Экран LED Absen ICON3.0 C110S</t>
        </is>
      </c>
      <c r="E2715" s="2" t="inlineStr">
        <is>
          <t>+ </t>
        </is>
      </c>
      <c r="F2715" s="2" t="inlineStr">
        <is>
          <t>+ </t>
        </is>
      </c>
      <c r="H2715" s="2">
        <v>61247</v>
      </c>
      <c r="I2715" s="2" t="inlineStr">
        <is>
          <t>$</t>
        </is>
      </c>
    </row>
    <row r="2716" spans="1:10" customHeight="0">
      <c r="A2716" s="2" t="inlineStr">
        <is>
          <t>Проекционное оборудование</t>
        </is>
      </c>
      <c r="B2716" s="2" t="inlineStr">
        <is>
          <t>ABSEN</t>
        </is>
      </c>
      <c r="D2716" s="2" t="inlineStr">
        <is>
          <t>Экран LED Absen ICON3.0 C138S</t>
        </is>
      </c>
      <c r="E2716" s="2" t="inlineStr">
        <is>
          <t>+ </t>
        </is>
      </c>
      <c r="F2716" s="2" t="inlineStr">
        <is>
          <t>+ </t>
        </is>
      </c>
      <c r="H2716" s="2">
        <v>54887</v>
      </c>
      <c r="I2716" s="2" t="inlineStr">
        <is>
          <t>$</t>
        </is>
      </c>
    </row>
    <row r="2717" spans="1:10" customHeight="0">
      <c r="A2717" s="2" t="inlineStr">
        <is>
          <t>Проекционное оборудование</t>
        </is>
      </c>
      <c r="B2717" s="2" t="inlineStr">
        <is>
          <t>ABSEN</t>
        </is>
      </c>
      <c r="D2717" s="2" t="inlineStr">
        <is>
          <t>Экран LED Absen ICON3.0 C165S</t>
        </is>
      </c>
      <c r="E2717" s="2" t="inlineStr">
        <is>
          <t>+ </t>
        </is>
      </c>
      <c r="F2717" s="2" t="inlineStr">
        <is>
          <t>+ </t>
        </is>
      </c>
      <c r="H2717" s="2">
        <v>62720</v>
      </c>
      <c r="I2717" s="2" t="inlineStr">
        <is>
          <t>$</t>
        </is>
      </c>
    </row>
    <row r="2718" spans="1:10" customHeight="0">
      <c r="A2718" s="2" t="inlineStr">
        <is>
          <t>Проекционное оборудование</t>
        </is>
      </c>
      <c r="B2718" s="2" t="inlineStr">
        <is>
          <t>ABSEN</t>
        </is>
      </c>
      <c r="D2718" s="2" t="inlineStr">
        <is>
          <t>Экран LED Absen NX1.5</t>
        </is>
      </c>
      <c r="E2718" s="2" t="inlineStr">
        <is>
          <t>+ </t>
        </is>
      </c>
      <c r="F2718" s="2" t="inlineStr">
        <is>
          <t>+ </t>
        </is>
      </c>
      <c r="H2718" s="2">
        <v>4755</v>
      </c>
      <c r="I2718" s="2" t="inlineStr">
        <is>
          <t>$</t>
        </is>
      </c>
    </row>
    <row r="2719" spans="1:10" customHeight="0">
      <c r="A2719" s="2" t="inlineStr">
        <is>
          <t>Проекционное оборудование</t>
        </is>
      </c>
      <c r="B2719" s="2" t="inlineStr">
        <is>
          <t>LG</t>
        </is>
      </c>
      <c r="D2719" s="2" t="inlineStr">
        <is>
          <t>Экран LED LG LSCB018 FHD для P1.88</t>
        </is>
      </c>
      <c r="E2719" s="2" t="inlineStr">
        <is>
          <t>+ </t>
        </is>
      </c>
      <c r="F2719" s="2" t="inlineStr">
        <is>
          <t>+ </t>
        </is>
      </c>
      <c r="H2719" s="2">
        <v>4352</v>
      </c>
      <c r="I2719" s="2" t="inlineStr">
        <is>
          <t>$</t>
        </is>
      </c>
    </row>
    <row r="2720" spans="1:10" customHeight="0">
      <c r="A2720" s="2" t="inlineStr">
        <is>
          <t>Проекционное оборудование</t>
        </is>
      </c>
      <c r="B2720" s="2" t="inlineStr">
        <is>
          <t>LG</t>
        </is>
      </c>
      <c r="D2720" s="2" t="inlineStr">
        <is>
          <t>Экран LED LG LSCB025 FHD для P2.5</t>
        </is>
      </c>
      <c r="E2720" s="2" t="inlineStr">
        <is>
          <t>++ </t>
        </is>
      </c>
      <c r="F2720" s="2" t="inlineStr">
        <is>
          <t>++ </t>
        </is>
      </c>
      <c r="H2720" s="2">
        <v>2417</v>
      </c>
      <c r="I2720" s="2" t="inlineStr">
        <is>
          <t>$</t>
        </is>
      </c>
    </row>
    <row r="2721" spans="1:10" customHeight="0">
      <c r="A2721" s="2" t="inlineStr">
        <is>
          <t>Проекционное оборудование</t>
        </is>
      </c>
      <c r="B2721" s="2" t="inlineStr">
        <is>
          <t>NEXTOUCH</t>
        </is>
      </c>
      <c r="C2721" s="2" t="inlineStr">
        <is>
          <t>NMENV1NNT86</t>
        </is>
      </c>
      <c r="D2721" s="2" t="inlineStr">
        <is>
          <t>Стойка для интерактивных досок NexTouch NextMobi ECO 86" напольная</t>
        </is>
      </c>
      <c r="E2721" s="2" t="inlineStr">
        <is>
          <t>+ </t>
        </is>
      </c>
      <c r="F2721" s="2" t="inlineStr">
        <is>
          <t>+ </t>
        </is>
      </c>
      <c r="H2721" s="2">
        <v>447</v>
      </c>
      <c r="I2721" s="2" t="inlineStr">
        <is>
          <t>$</t>
        </is>
      </c>
      <c r="J2721" s="2">
        <f>HYPERLINK("https://app.astro.lead-studio.pro/product/93ea44ec-fdc0-481c-9551-5299657424f6")</f>
      </c>
    </row>
    <row r="2722" spans="1:10" customHeight="0">
      <c r="A2722" s="2" t="inlineStr">
        <is>
          <t>Проекционное оборудование</t>
        </is>
      </c>
      <c r="B2722" s="2" t="inlineStr">
        <is>
          <t>SAMSUNG</t>
        </is>
      </c>
      <c r="C2722" s="2" t="inlineStr">
        <is>
          <t>LH025IEACLS/CI</t>
        </is>
      </c>
      <c r="D2722" s="2" t="inlineStr">
        <is>
          <t>Экран LED Samsung IE025A 2024 для P2,5</t>
        </is>
      </c>
      <c r="E2722" s="2" t="inlineStr">
        <is>
          <t>+++ </t>
        </is>
      </c>
      <c r="F2722" s="2" t="inlineStr">
        <is>
          <t>+++ </t>
        </is>
      </c>
      <c r="H2722" s="2">
        <v>3889</v>
      </c>
      <c r="I2722" s="2" t="inlineStr">
        <is>
          <t>$</t>
        </is>
      </c>
      <c r="J2722" s="2">
        <f>HYPERLINK("https://app.astro.lead-studio.pro/product/ecf9636a-02bf-437c-8d82-5553a08f1072")</f>
      </c>
    </row>
    <row r="2723" spans="1:10" customHeight="0">
      <c r="A2723" s="2" t="inlineStr">
        <is>
          <t>Проекционное оборудование</t>
        </is>
      </c>
      <c r="B2723" s="2" t="inlineStr">
        <is>
          <t>SAMSUNG</t>
        </is>
      </c>
      <c r="C2723" s="2" t="inlineStr">
        <is>
          <t>LH025IEACLS/CI</t>
        </is>
      </c>
      <c r="D2723" s="2" t="inlineStr">
        <is>
          <t>Экран LED Samsung IE025A для P2,5</t>
        </is>
      </c>
      <c r="E2723" s="2" t="inlineStr">
        <is>
          <t>+ </t>
        </is>
      </c>
      <c r="F2723" s="2" t="inlineStr">
        <is>
          <t>+ </t>
        </is>
      </c>
      <c r="H2723" s="2">
        <v>3342</v>
      </c>
      <c r="I2723" s="2" t="inlineStr">
        <is>
          <t>$</t>
        </is>
      </c>
      <c r="J2723" s="2">
        <f>HYPERLINK("https://app.astro.lead-studio.pro/product/ecf9636a-02bf-437c-8d82-5553a08f1072")</f>
      </c>
    </row>
    <row r="2724" spans="1:10" customHeight="0">
      <c r="A2724" s="2" t="inlineStr">
        <is>
          <t>Проекционное оборудование</t>
        </is>
      </c>
      <c r="B2724" s="2" t="inlineStr">
        <is>
          <t>SAMSUNG</t>
        </is>
      </c>
      <c r="C2724" s="2" t="inlineStr">
        <is>
          <t>LH025IERKLS/CI</t>
        </is>
      </c>
      <c r="D2724" s="2" t="inlineStr">
        <is>
          <t>Экран LED Samsung IE025R-TV3E010511 для P2,5</t>
        </is>
      </c>
      <c r="E2724" s="2" t="inlineStr">
        <is>
          <t>+ </t>
        </is>
      </c>
      <c r="F2724" s="2" t="inlineStr">
        <is>
          <t>+ </t>
        </is>
      </c>
      <c r="H2724" s="2">
        <v>3279</v>
      </c>
      <c r="I2724" s="2" t="inlineStr">
        <is>
          <t>$</t>
        </is>
      </c>
      <c r="J2724" s="2">
        <f>HYPERLINK("https://app.astro.lead-studio.pro/product/622fec52-ec04-4b56-adcb-2d08283b01ec")</f>
      </c>
    </row>
    <row r="2725" spans="1:10" customHeight="0">
      <c r="A2725" s="2" t="inlineStr">
        <is>
          <t>Проекционное оборудование</t>
        </is>
      </c>
      <c r="B2725" s="2" t="inlineStr">
        <is>
          <t>SAMSUNG</t>
        </is>
      </c>
      <c r="C2725" s="2" t="inlineStr">
        <is>
          <t>LH040IERKLS/CI</t>
        </is>
      </c>
      <c r="D2725" s="2" t="inlineStr">
        <is>
          <t>Экран LED Samsung IE040R для P4,0</t>
        </is>
      </c>
      <c r="E2725" s="2" t="inlineStr">
        <is>
          <t>+ </t>
        </is>
      </c>
      <c r="F2725" s="2" t="inlineStr">
        <is>
          <t>+ </t>
        </is>
      </c>
      <c r="H2725" s="2">
        <v>2766</v>
      </c>
      <c r="I2725" s="2" t="inlineStr">
        <is>
          <t>$</t>
        </is>
      </c>
      <c r="J2725" s="2">
        <f>HYPERLINK("https://app.astro.lead-studio.pro/product/592dfd10-8157-4580-92b6-0c7f453382e9")</f>
      </c>
    </row>
    <row r="2726" spans="1:10" customHeight="0">
      <c r="A2726" s="2" t="inlineStr">
        <is>
          <t>Проекционное оборудование</t>
        </is>
      </c>
      <c r="B2726" s="2" t="inlineStr">
        <is>
          <t>UNILUMIN</t>
        </is>
      </c>
      <c r="D2726" s="2" t="inlineStr">
        <is>
          <t>Звуковая система Unilumin T1-108/135/162</t>
        </is>
      </c>
      <c r="E2726" s="2" t="inlineStr">
        <is>
          <t>+ </t>
        </is>
      </c>
      <c r="F2726" s="2" t="inlineStr">
        <is>
          <t>+ </t>
        </is>
      </c>
      <c r="H2726" s="2">
        <v>1433</v>
      </c>
      <c r="I2726" s="2" t="inlineStr">
        <is>
          <t>$</t>
        </is>
      </c>
    </row>
    <row r="2727" spans="1:10" customHeight="0">
      <c r="A2727" s="2" t="inlineStr">
        <is>
          <t>Проекционное оборудование</t>
        </is>
      </c>
      <c r="B2727" s="2" t="inlineStr">
        <is>
          <t>UNILUMIN</t>
        </is>
      </c>
      <c r="C2727" s="2" t="inlineStr">
        <is>
          <t>SR-B30A</t>
        </is>
      </c>
      <c r="D2727" s="2" t="inlineStr">
        <is>
          <t>Звуковая система Unilumin V1 series</t>
        </is>
      </c>
      <c r="E2727" s="2" t="inlineStr">
        <is>
          <t>+ </t>
        </is>
      </c>
      <c r="F2727" s="2" t="inlineStr">
        <is>
          <t>+ </t>
        </is>
      </c>
      <c r="H2727" s="2">
        <v>1676</v>
      </c>
      <c r="I2727" s="2" t="inlineStr">
        <is>
          <t>$</t>
        </is>
      </c>
      <c r="J2727" s="2">
        <f>HYPERLINK("https://app.astro.lead-studio.pro/product/8fba895b-ecac-4417-aec0-5a2495e56c45")</f>
      </c>
    </row>
    <row r="2728" spans="1:10" customHeight="0">
      <c r="A2728" s="2" t="inlineStr">
        <is>
          <t>Проекционное оборудование</t>
        </is>
      </c>
      <c r="B2728" s="2" t="inlineStr">
        <is>
          <t>UNILUMIN</t>
        </is>
      </c>
      <c r="D2728" s="2" t="inlineStr">
        <is>
          <t>Стойка Unilumin T1-108/135</t>
        </is>
      </c>
      <c r="E2728" s="2" t="inlineStr">
        <is>
          <t>+ </t>
        </is>
      </c>
      <c r="F2728" s="2" t="inlineStr">
        <is>
          <t>+ </t>
        </is>
      </c>
      <c r="H2728" s="2">
        <v>1538</v>
      </c>
      <c r="I2728" s="2" t="inlineStr">
        <is>
          <t>$</t>
        </is>
      </c>
    </row>
    <row r="2729" spans="1:10" customHeight="0">
      <c r="A2729" s="2" t="inlineStr">
        <is>
          <t>Проекционное оборудование</t>
        </is>
      </c>
      <c r="B2729" s="2" t="inlineStr">
        <is>
          <t>UNILUMIN</t>
        </is>
      </c>
      <c r="C2729" s="2" t="inlineStr">
        <is>
          <t>ACC-STAND3-A</t>
        </is>
      </c>
      <c r="D2729" s="2" t="inlineStr">
        <is>
          <t>Стойка Unilumin V1-135 напольная/мобильная</t>
        </is>
      </c>
      <c r="E2729" s="2" t="inlineStr">
        <is>
          <t>+ </t>
        </is>
      </c>
      <c r="F2729" s="2" t="inlineStr">
        <is>
          <t>+ </t>
        </is>
      </c>
      <c r="H2729" s="2">
        <v>2755</v>
      </c>
      <c r="I2729" s="2" t="inlineStr">
        <is>
          <t>$</t>
        </is>
      </c>
      <c r="J2729" s="2">
        <f>HYPERLINK("https://app.astro.lead-studio.pro/product/cab71892-327c-4e10-8292-a4bfd3e9bb78")</f>
      </c>
    </row>
    <row r="2730" spans="1:10" customHeight="0">
      <c r="A2730" s="2" t="inlineStr">
        <is>
          <t>Проекционное оборудование</t>
        </is>
      </c>
      <c r="B2730" s="2" t="inlineStr">
        <is>
          <t>UNILUMIN</t>
        </is>
      </c>
      <c r="C2730" s="2" t="inlineStr">
        <is>
          <t>ACC-STAND3-B</t>
        </is>
      </c>
      <c r="D2730" s="2" t="inlineStr">
        <is>
          <t>Стойка Unilumin V1-162 напольная/мобильная</t>
        </is>
      </c>
      <c r="E2730" s="2" t="inlineStr">
        <is>
          <t>+ </t>
        </is>
      </c>
      <c r="F2730" s="2" t="inlineStr">
        <is>
          <t>+ </t>
        </is>
      </c>
      <c r="H2730" s="2">
        <v>1326</v>
      </c>
      <c r="I2730" s="2" t="inlineStr">
        <is>
          <t>$</t>
        </is>
      </c>
      <c r="J2730" s="2">
        <f>HYPERLINK("https://app.astro.lead-studio.pro/product/be9b7b88-c670-4c5a-93a5-5c9f4d14caf1")</f>
      </c>
    </row>
    <row r="2731" spans="1:10" customHeight="0">
      <c r="A2731" s="2" t="inlineStr">
        <is>
          <t>Проекционное оборудование</t>
        </is>
      </c>
      <c r="B2731" s="2" t="inlineStr">
        <is>
          <t>UNILUMIN</t>
        </is>
      </c>
      <c r="D2731" s="2" t="inlineStr">
        <is>
          <t>Экран LED Unilumin T1-108</t>
        </is>
      </c>
      <c r="E2731" s="2" t="inlineStr">
        <is>
          <t>+ </t>
        </is>
      </c>
      <c r="F2731" s="2" t="inlineStr">
        <is>
          <t>+ </t>
        </is>
      </c>
      <c r="H2731" s="2">
        <v>45422</v>
      </c>
      <c r="I2731" s="2" t="inlineStr">
        <is>
          <t>$</t>
        </is>
      </c>
    </row>
    <row r="2732" spans="1:10" customHeight="0">
      <c r="A2732" s="2" t="inlineStr">
        <is>
          <t>Проекционное оборудование</t>
        </is>
      </c>
      <c r="B2732" s="2" t="inlineStr">
        <is>
          <t>UNILUMIN</t>
        </is>
      </c>
      <c r="D2732" s="2" t="inlineStr">
        <is>
          <t>Экран LED Unilumin T1-162</t>
        </is>
      </c>
      <c r="E2732" s="2" t="inlineStr">
        <is>
          <t>+ </t>
        </is>
      </c>
      <c r="F2732" s="2" t="inlineStr">
        <is>
          <t>+ </t>
        </is>
      </c>
      <c r="H2732" s="2">
        <v>59466</v>
      </c>
      <c r="I2732" s="2" t="inlineStr">
        <is>
          <t>$</t>
        </is>
      </c>
    </row>
    <row r="2733" spans="1:10" customHeight="0">
      <c r="A2733" s="2" t="inlineStr">
        <is>
          <t>Проекционное оборудование</t>
        </is>
      </c>
      <c r="B2733" s="2" t="inlineStr">
        <is>
          <t>UNILUMIN</t>
        </is>
      </c>
      <c r="D2733" s="2" t="inlineStr">
        <is>
          <t>Экран LED Unilumin V1-135 (3020x1823mm)</t>
        </is>
      </c>
      <c r="E2733" s="2" t="inlineStr">
        <is>
          <t>+ </t>
        </is>
      </c>
      <c r="F2733" s="2" t="inlineStr">
        <is>
          <t>+ </t>
        </is>
      </c>
      <c r="H2733" s="2">
        <v>49269</v>
      </c>
      <c r="I2733" s="2" t="inlineStr">
        <is>
          <t>$</t>
        </is>
      </c>
    </row>
    <row r="2734" spans="1:10" customHeight="0">
      <c r="A2734" s="2" t="inlineStr">
        <is>
          <t>Проекционное оборудование</t>
        </is>
      </c>
      <c r="B2734" s="2" t="inlineStr">
        <is>
          <t>UNILUMIN</t>
        </is>
      </c>
      <c r="D2734" s="2" t="inlineStr">
        <is>
          <t>Экран LED Unilumin V1-162</t>
        </is>
      </c>
      <c r="E2734" s="2" t="inlineStr">
        <is>
          <t>+ </t>
        </is>
      </c>
      <c r="F2734" s="2" t="inlineStr">
        <is>
          <t>+ </t>
        </is>
      </c>
      <c r="H2734" s="2">
        <v>60725</v>
      </c>
      <c r="I2734" s="2" t="inlineStr">
        <is>
          <t>$</t>
        </is>
      </c>
    </row>
    <row r="2735" spans="1:10" customHeight="0">
      <c r="A2735" s="2" t="inlineStr">
        <is>
          <t>Проекционное оборудование</t>
        </is>
      </c>
      <c r="B2735" s="2" t="inlineStr">
        <is>
          <t>ACER</t>
        </is>
      </c>
      <c r="C2735" s="2" t="inlineStr">
        <is>
          <t>MR.JSE11.001</t>
        </is>
      </c>
      <c r="D2735" s="2" t="inlineStr">
        <is>
          <t>Проектор Acer H5386BDi DLP 4500Lm (1280x720) 20000:1 ресурс лампы:6000часов 1xUSB typeA 1xHDMI 2.7кг</t>
        </is>
      </c>
      <c r="E2735" s="2" t="inlineStr">
        <is>
          <t>+ </t>
        </is>
      </c>
      <c r="F2735" s="2" t="inlineStr">
        <is>
          <t>+ </t>
        </is>
      </c>
      <c r="H2735" s="2">
        <v>679</v>
      </c>
      <c r="I2735" s="2" t="inlineStr">
        <is>
          <t>$</t>
        </is>
      </c>
      <c r="J2735" s="2">
        <f>HYPERLINK("https://app.astro.lead-studio.pro/product/34a7be37-7e25-4ca5-87c3-f8c5bff9d7bf")</f>
      </c>
    </row>
    <row r="2736" spans="1:10" customHeight="0">
      <c r="A2736" s="2" t="inlineStr">
        <is>
          <t>Проекционное оборудование</t>
        </is>
      </c>
      <c r="B2736" s="2" t="inlineStr">
        <is>
          <t>ACER</t>
        </is>
      </c>
      <c r="C2736" s="2" t="inlineStr">
        <is>
          <t>MR.JVL11.001</t>
        </is>
      </c>
      <c r="D2736" s="2" t="inlineStr">
        <is>
          <t>Проектор Acer H6541BDK DLP 4000Lm LS (1920x1080) 10000:1 ресурс лампы:5000часов 1xUSB typeA 2xHDMI 2.9кг</t>
        </is>
      </c>
      <c r="E2736" s="2" t="inlineStr">
        <is>
          <t>+ </t>
        </is>
      </c>
      <c r="F2736" s="2" t="inlineStr">
        <is>
          <t>+ </t>
        </is>
      </c>
      <c r="H2736" s="2">
        <v>858</v>
      </c>
      <c r="I2736" s="2" t="inlineStr">
        <is>
          <t>$</t>
        </is>
      </c>
      <c r="J2736" s="2">
        <f>HYPERLINK("https://app.astro.lead-studio.pro/product/26bf3ca9-57c1-43ad-bf6f-aa2dcd2e5395")</f>
      </c>
    </row>
    <row r="2737" spans="1:10" customHeight="0">
      <c r="A2737" s="2" t="inlineStr">
        <is>
          <t>Проекционное оборудование</t>
        </is>
      </c>
      <c r="B2737" s="2" t="inlineStr">
        <is>
          <t>ACER</t>
        </is>
      </c>
      <c r="C2737" s="2" t="inlineStr">
        <is>
          <t>MR.JW011.002</t>
        </is>
      </c>
      <c r="D2737" s="2" t="inlineStr">
        <is>
          <t>Проектор Acer H6546KI DLP 5200Lm LS (1920x1080) 10000:1 ресурс лампы:3000часов 1xUSB typeA 2xHDMI 2.95кг</t>
        </is>
      </c>
      <c r="E2737" s="2" t="inlineStr">
        <is>
          <t>++ </t>
        </is>
      </c>
      <c r="F2737" s="2" t="inlineStr">
        <is>
          <t>++ </t>
        </is>
      </c>
      <c r="H2737" s="2">
        <v>1008</v>
      </c>
      <c r="I2737" s="2" t="inlineStr">
        <is>
          <t>$</t>
        </is>
      </c>
      <c r="J2737" s="2">
        <f>HYPERLINK("https://app.astro.lead-studio.pro/product/f4ad154f-38f7-4db2-9851-1646bb5e6fee")</f>
      </c>
    </row>
    <row r="2738" spans="1:10" customHeight="0">
      <c r="A2738" s="2" t="inlineStr">
        <is>
          <t>Проекционное оборудование</t>
        </is>
      </c>
      <c r="B2738" s="2" t="inlineStr">
        <is>
          <t>ACER</t>
        </is>
      </c>
      <c r="C2738" s="2" t="inlineStr">
        <is>
          <t>MR.JVQ11.004</t>
        </is>
      </c>
      <c r="D2738" s="2" t="inlineStr">
        <is>
          <t>Проектор Acer H6555BDKi DLP 4800Lm (1920x1080) 10000:1 ресурс лампы:6000часов 1xUSB typeA 2xHDMI 2.9кг</t>
        </is>
      </c>
      <c r="E2738" s="2" t="inlineStr">
        <is>
          <t>++ </t>
        </is>
      </c>
      <c r="F2738" s="2" t="inlineStr">
        <is>
          <t>++ </t>
        </is>
      </c>
      <c r="H2738" s="2">
        <v>1088</v>
      </c>
      <c r="I2738" s="2" t="inlineStr">
        <is>
          <t>$</t>
        </is>
      </c>
      <c r="J2738" s="2">
        <f>HYPERLINK("https://app.astro.lead-studio.pro/product/e5a305fc-29fd-4b50-aac4-f7eea400a8eb")</f>
      </c>
    </row>
    <row r="2739" spans="1:10" customHeight="0">
      <c r="A2739" s="2" t="inlineStr">
        <is>
          <t>Проекционное оборудование</t>
        </is>
      </c>
      <c r="B2739" s="2" t="inlineStr">
        <is>
          <t>ACER</t>
        </is>
      </c>
      <c r="C2739" s="2" t="inlineStr">
        <is>
          <t>MR.JTA11.001</t>
        </is>
      </c>
      <c r="D2739" s="2" t="inlineStr">
        <is>
          <t>Проектор Acer H6815BD DLP 4000Lm (3840x2160) 10000:1 ресурс лампы:5000часов 2xHDMI 2.88кг</t>
        </is>
      </c>
      <c r="E2739" s="2" t="inlineStr">
        <is>
          <t>++ </t>
        </is>
      </c>
      <c r="F2739" s="2" t="inlineStr">
        <is>
          <t>++ </t>
        </is>
      </c>
      <c r="H2739" s="2">
        <v>1372</v>
      </c>
      <c r="I2739" s="2" t="inlineStr">
        <is>
          <t>$</t>
        </is>
      </c>
      <c r="J2739" s="2">
        <f>HYPERLINK("https://app.astro.lead-studio.pro/product/9d2a43cd-bdaf-4b20-b395-7ae537bb3203")</f>
      </c>
    </row>
    <row r="2740" spans="1:10" customHeight="0">
      <c r="A2740" s="2" t="inlineStr">
        <is>
          <t>Проекционное оборудование</t>
        </is>
      </c>
      <c r="B2740" s="2" t="inlineStr">
        <is>
          <t>ACER</t>
        </is>
      </c>
      <c r="C2740" s="2" t="inlineStr">
        <is>
          <t>MR.JVK11.001</t>
        </is>
      </c>
      <c r="D2740" s="2" t="inlineStr">
        <is>
          <t>Проектор Acer H6830BD DLP 4000Lm LS (3840x2160) 10000:1 ресурс лампы:5000часов 2xHDMI 4кг</t>
        </is>
      </c>
      <c r="E2740" s="2" t="inlineStr">
        <is>
          <t>++ </t>
        </is>
      </c>
      <c r="F2740" s="2" t="inlineStr">
        <is>
          <t>++ </t>
        </is>
      </c>
      <c r="H2740" s="2">
        <v>1445</v>
      </c>
      <c r="I2740" s="2" t="inlineStr">
        <is>
          <t>$</t>
        </is>
      </c>
      <c r="J2740" s="2">
        <f>HYPERLINK("https://app.astro.lead-studio.pro/product/a12b4e9a-ba1b-4c20-8f0e-3679090ed2ec")</f>
      </c>
    </row>
    <row r="2741" spans="1:10" customHeight="0">
      <c r="A2741" s="2" t="inlineStr">
        <is>
          <t>Проекционное оборудование</t>
        </is>
      </c>
      <c r="B2741" s="2" t="inlineStr">
        <is>
          <t>ACER</t>
        </is>
      </c>
      <c r="C2741" s="2" t="inlineStr">
        <is>
          <t>MR.JUR11.001</t>
        </is>
      </c>
      <c r="D2741" s="2" t="inlineStr">
        <is>
          <t>Проектор Acer P1257i DLP 4800Lm (1024x768) 20000:1 ресурс лампы:6000часов 1xUSB typeA 2xHDMI 2.4кг</t>
        </is>
      </c>
      <c r="E2741" s="2" t="inlineStr">
        <is>
          <t>++ </t>
        </is>
      </c>
      <c r="F2741" s="2" t="inlineStr">
        <is>
          <t>++ </t>
        </is>
      </c>
      <c r="H2741" s="2">
        <v>791</v>
      </c>
      <c r="I2741" s="2" t="inlineStr">
        <is>
          <t>$</t>
        </is>
      </c>
      <c r="J2741" s="2">
        <f>HYPERLINK("https://app.astro.lead-studio.pro/product/7cf5a6f8-ce70-46c5-acf5-8b94a13b2b6c")</f>
      </c>
    </row>
    <row r="2742" spans="1:10" customHeight="0">
      <c r="A2742" s="2" t="inlineStr">
        <is>
          <t>Проекционное оборудование</t>
        </is>
      </c>
      <c r="B2742" s="2" t="inlineStr">
        <is>
          <t>ACER</t>
        </is>
      </c>
      <c r="C2742" s="2" t="inlineStr">
        <is>
          <t>MR.JUP11.001</t>
        </is>
      </c>
      <c r="D2742" s="2" t="inlineStr">
        <is>
          <t>Проектор Acer P1357Wi DLP 4800Lm (1280x800) 20000:1 ресурс лампы:6000часов 1xUSB typeA 2xHDMI 2.4кг</t>
        </is>
      </c>
      <c r="E2742" s="2" t="inlineStr">
        <is>
          <t>++ </t>
        </is>
      </c>
      <c r="F2742" s="2" t="inlineStr">
        <is>
          <t>++ </t>
        </is>
      </c>
      <c r="H2742" s="2">
        <v>913</v>
      </c>
      <c r="I2742" s="2" t="inlineStr">
        <is>
          <t>$</t>
        </is>
      </c>
      <c r="J2742" s="2">
        <f>HYPERLINK("https://app.astro.lead-studio.pro/product/a88dc78d-6da0-4c36-ac2b-947084b8879e")</f>
      </c>
    </row>
    <row r="2743" spans="1:10" customHeight="0">
      <c r="A2743" s="2" t="inlineStr">
        <is>
          <t>Проекционное оборудование</t>
        </is>
      </c>
      <c r="B2743" s="2" t="inlineStr">
        <is>
          <t>ACER</t>
        </is>
      </c>
      <c r="C2743" s="2" t="inlineStr">
        <is>
          <t>MR.JX211.001</t>
        </is>
      </c>
      <c r="D2743" s="2" t="inlineStr">
        <is>
          <t>Проектор Acer X1328WHn DLP 4800Lm ANSI (1280x800) 20000:1 ресурс лампы:6000часов 1xUSB typeA 2xHDMI 2.8кг</t>
        </is>
      </c>
      <c r="E2743" s="2" t="inlineStr">
        <is>
          <t>+ </t>
        </is>
      </c>
      <c r="F2743" s="2" t="inlineStr">
        <is>
          <t>+ </t>
        </is>
      </c>
      <c r="H2743" s="2">
        <v>687</v>
      </c>
      <c r="I2743" s="2" t="inlineStr">
        <is>
          <t>$</t>
        </is>
      </c>
      <c r="J2743" s="2">
        <f>HYPERLINK("https://app.astro.lead-studio.pro/product/66ae441e-afe7-4cfb-bb15-2e0fd75c7841")</f>
      </c>
    </row>
    <row r="2744" spans="1:10" customHeight="0">
      <c r="A2744" s="2" t="inlineStr">
        <is>
          <t>Проекционное оборудование</t>
        </is>
      </c>
      <c r="B2744" s="2" t="inlineStr">
        <is>
          <t>ACER</t>
        </is>
      </c>
      <c r="C2744" s="2" t="inlineStr">
        <is>
          <t>MR.JX711.001</t>
        </is>
      </c>
      <c r="D2744" s="2" t="inlineStr">
        <is>
          <t>Проектор Acer X1329 DLP 4800Lm ANSI (1280x800) 20000:1 ресурс лампы:5000часов 1xUSB typeA 2xHDMI 2.4кг</t>
        </is>
      </c>
      <c r="E2744" s="2" t="inlineStr">
        <is>
          <t>+ </t>
        </is>
      </c>
      <c r="F2744" s="2" t="inlineStr">
        <is>
          <t>+ </t>
        </is>
      </c>
      <c r="H2744" s="2">
        <v>643</v>
      </c>
      <c r="I2744" s="2" t="inlineStr">
        <is>
          <t>$</t>
        </is>
      </c>
      <c r="J2744" s="2">
        <f>HYPERLINK("https://app.astro.lead-studio.pro/product/770f3cb7-0f64-44b3-8132-77e2b4091f5d")</f>
      </c>
    </row>
    <row r="2745" spans="1:10" customHeight="0">
      <c r="A2745" s="2" t="inlineStr">
        <is>
          <t>Проекционное оборудование</t>
        </is>
      </c>
      <c r="B2745" s="2" t="inlineStr">
        <is>
          <t>ACER</t>
        </is>
      </c>
      <c r="C2745" s="2" t="inlineStr">
        <is>
          <t>MR.JX611.00Z</t>
        </is>
      </c>
      <c r="D2745" s="2" t="inlineStr">
        <is>
          <t>Проектор Acer X139 DLP 5200Lm LS (1280x800) 20000:1 ресурс лампы:5000часов 1xUSB typeA 1xHDMI 2.8кг</t>
        </is>
      </c>
      <c r="E2745" s="2" t="inlineStr">
        <is>
          <t>+ </t>
        </is>
      </c>
      <c r="F2745" s="2" t="inlineStr">
        <is>
          <t>+ </t>
        </is>
      </c>
      <c r="H2745" s="2">
        <v>610</v>
      </c>
      <c r="I2745" s="2" t="inlineStr">
        <is>
          <t>$</t>
        </is>
      </c>
      <c r="J2745" s="2">
        <f>HYPERLINK("https://app.astro.lead-studio.pro/product/f759fe63-37a1-4d05-a0c7-4c76ba92ccaf")</f>
      </c>
    </row>
    <row r="2746" spans="1:10" customHeight="0">
      <c r="A2746" s="2" t="inlineStr">
        <is>
          <t>Проекционное оборудование</t>
        </is>
      </c>
      <c r="B2746" s="2" t="inlineStr">
        <is>
          <t>ACER</t>
        </is>
      </c>
      <c r="C2746" s="2" t="inlineStr">
        <is>
          <t>MR.JV811.001</t>
        </is>
      </c>
      <c r="D2746" s="2" t="inlineStr">
        <is>
          <t>Проектор Acer X1529HK DLP 4800Lm LS (1920x1080) 10000:1 ресурс лампы:6000часов 1xUSB typeA 2xHDMI 2.6кг</t>
        </is>
      </c>
      <c r="E2746" s="2" t="inlineStr">
        <is>
          <t>++ </t>
        </is>
      </c>
      <c r="F2746" s="2" t="inlineStr">
        <is>
          <t>++ </t>
        </is>
      </c>
      <c r="H2746" s="2">
        <v>961</v>
      </c>
      <c r="I2746" s="2" t="inlineStr">
        <is>
          <t>$</t>
        </is>
      </c>
      <c r="J2746" s="2">
        <f>HYPERLINK("https://app.astro.lead-studio.pro/product/41fe5187-1ac8-44eb-a036-5d3f715d931d")</f>
      </c>
    </row>
    <row r="2747" spans="1:10" customHeight="0">
      <c r="A2747" s="2" t="inlineStr">
        <is>
          <t>Проекционное оборудование</t>
        </is>
      </c>
      <c r="B2747" s="2" t="inlineStr">
        <is>
          <t>ACER</t>
        </is>
      </c>
      <c r="C2747" s="2" t="inlineStr">
        <is>
          <t>MR.JV911.001</t>
        </is>
      </c>
      <c r="D2747" s="2" t="inlineStr">
        <is>
          <t>Проектор Acer X1629HK DLP 4800Lm (1920x1200) 10000:1 ресурс лампы:6000часов 1xUSB typeA 2xHDMI 2.6кг</t>
        </is>
      </c>
      <c r="E2747" s="2" t="inlineStr">
        <is>
          <t>++ </t>
        </is>
      </c>
      <c r="F2747" s="2" t="inlineStr">
        <is>
          <t>++ </t>
        </is>
      </c>
      <c r="H2747" s="2">
        <v>1014</v>
      </c>
      <c r="I2747" s="2" t="inlineStr">
        <is>
          <t>$</t>
        </is>
      </c>
      <c r="J2747" s="2">
        <f>HYPERLINK("https://app.astro.lead-studio.pro/product/e2c12449-3532-4531-ab1b-3a89d2b583c2")</f>
      </c>
    </row>
    <row r="2748" spans="1:10" customHeight="0">
      <c r="A2748" s="2" t="inlineStr">
        <is>
          <t>Проекционное оборудование</t>
        </is>
      </c>
      <c r="B2748" s="2" t="inlineStr">
        <is>
          <t>BENQ</t>
        </is>
      </c>
      <c r="C2748" s="2" t="inlineStr">
        <is>
          <t>9H.JNG77.13E/9H.JNG77.1HE</t>
        </is>
      </c>
      <c r="D2748" s="2" t="inlineStr">
        <is>
          <t>Проектор Benq MH560 DLP 3800Lm (1920x1080) 20000:1 ресурс лампы:6000часов 2xHDMI 2.3кг</t>
        </is>
      </c>
      <c r="E2748" s="2" t="inlineStr">
        <is>
          <t>++ </t>
        </is>
      </c>
      <c r="F2748" s="2" t="inlineStr">
        <is>
          <t>++ </t>
        </is>
      </c>
      <c r="H2748" s="2">
        <v>931</v>
      </c>
      <c r="I2748" s="2" t="inlineStr">
        <is>
          <t>$</t>
        </is>
      </c>
      <c r="J2748" s="2">
        <f>HYPERLINK("https://app.astro.lead-studio.pro/product/03ef3742-8685-4cdc-8ad5-f743f54c6485")</f>
      </c>
    </row>
    <row r="2749" spans="1:10" customHeight="0">
      <c r="A2749" s="2" t="inlineStr">
        <is>
          <t>Проекционное оборудование</t>
        </is>
      </c>
      <c r="B2749" s="2" t="inlineStr">
        <is>
          <t>BENQ</t>
        </is>
      </c>
      <c r="C2749" s="2" t="inlineStr">
        <is>
          <t>9H.JGT77.1JE</t>
        </is>
      </c>
      <c r="D2749" s="2" t="inlineStr">
        <is>
          <t>Проектор Benq MH733 DLP 4000Lm (1920x1080) 16000:1 ресурс лампы:4000часов 1xUSB typeA 1xUSB typeB 2xHDMI 2.5кг</t>
        </is>
      </c>
      <c r="E2749" s="2" t="inlineStr">
        <is>
          <t>+ </t>
        </is>
      </c>
      <c r="F2749" s="2" t="inlineStr">
        <is>
          <t>+ </t>
        </is>
      </c>
      <c r="H2749" s="2">
        <v>1498</v>
      </c>
      <c r="I2749" s="2" t="inlineStr">
        <is>
          <t>$</t>
        </is>
      </c>
      <c r="J2749" s="2">
        <f>HYPERLINK("https://app.astro.lead-studio.pro/product/6f0dd152-e7ee-4d5b-9c15-018c298c388a")</f>
      </c>
    </row>
    <row r="2750" spans="1:10" customHeight="0">
      <c r="A2750" s="2" t="inlineStr">
        <is>
          <t>Проекционное оборудование</t>
        </is>
      </c>
      <c r="B2750" s="2" t="inlineStr">
        <is>
          <t>BENQ</t>
        </is>
      </c>
      <c r="C2750" s="2" t="inlineStr">
        <is>
          <t>9H.JND77.1JE</t>
        </is>
      </c>
      <c r="D2750" s="2" t="inlineStr">
        <is>
          <t>Проектор Benq MS560 (new) DLP 4000Lm LS (800x600) 20000:1 ресурс лампы:6000часов 1xUSB typeA 2xHDMI 2.3кг</t>
        </is>
      </c>
      <c r="E2750" s="2" t="inlineStr">
        <is>
          <t>+ </t>
        </is>
      </c>
      <c r="F2750" s="2" t="inlineStr">
        <is>
          <t>+ </t>
        </is>
      </c>
      <c r="H2750" s="2">
        <v>518</v>
      </c>
      <c r="I2750" s="2" t="inlineStr">
        <is>
          <t>$</t>
        </is>
      </c>
      <c r="J2750" s="2">
        <f>HYPERLINK("https://app.astro.lead-studio.pro/product/ee2d14e1-4167-4535-8d45-78b6baeca66b")</f>
      </c>
    </row>
    <row r="2751" spans="1:10" customHeight="0">
      <c r="A2751" s="2" t="inlineStr">
        <is>
          <t>Проекционное оборудование</t>
        </is>
      </c>
      <c r="B2751" s="2" t="inlineStr">
        <is>
          <t>BENQ</t>
        </is>
      </c>
      <c r="C2751" s="2" t="inlineStr">
        <is>
          <t>9H.JND77.13E</t>
        </is>
      </c>
      <c r="D2751" s="2" t="inlineStr">
        <is>
          <t>Проектор Benq MS560 DLP 4000Lm (800x600) 20000:1 ресурс лампы:6000часов 1xUSB typeA 2xHDMI 2.3кг</t>
        </is>
      </c>
      <c r="E2751" s="2" t="inlineStr">
        <is>
          <t>+ </t>
        </is>
      </c>
      <c r="F2751" s="2" t="inlineStr">
        <is>
          <t>+ </t>
        </is>
      </c>
      <c r="H2751" s="2">
        <v>681</v>
      </c>
      <c r="I2751" s="2" t="inlineStr">
        <is>
          <t>$</t>
        </is>
      </c>
      <c r="J2751" s="2">
        <f>HYPERLINK("https://app.astro.lead-studio.pro/product/c50b519f-b1c4-48ae-8c8e-edba07e9eae9")</f>
      </c>
    </row>
    <row r="2752" spans="1:10" customHeight="0">
      <c r="A2752" s="2" t="inlineStr">
        <is>
          <t>Проекционное оборудование</t>
        </is>
      </c>
      <c r="B2752" s="2" t="inlineStr">
        <is>
          <t>BENQ</t>
        </is>
      </c>
      <c r="C2752" s="2" t="inlineStr">
        <is>
          <t>9H.JHT77.1KE</t>
        </is>
      </c>
      <c r="D2752" s="2" t="inlineStr">
        <is>
          <t>Проектор Benq MW550 (new) DLP 3600Lm LS (1280x800) 20000:1 ресурс лампы:5000часов 2xHDMI 2.3кг</t>
        </is>
      </c>
      <c r="E2752" s="2" t="inlineStr">
        <is>
          <t>+ </t>
        </is>
      </c>
      <c r="F2752" s="2" t="inlineStr">
        <is>
          <t>+ </t>
        </is>
      </c>
      <c r="H2752" s="2">
        <v>567</v>
      </c>
      <c r="I2752" s="2" t="inlineStr">
        <is>
          <t>$</t>
        </is>
      </c>
      <c r="J2752" s="2">
        <f>HYPERLINK("https://app.astro.lead-studio.pro/product/05157707-7c0f-4a22-b2a2-f8cb35acc550")</f>
      </c>
    </row>
    <row r="2753" spans="1:10" customHeight="0">
      <c r="A2753" s="2" t="inlineStr">
        <is>
          <t>Проекционное оборудование</t>
        </is>
      </c>
      <c r="B2753" s="2" t="inlineStr">
        <is>
          <t>BENQ</t>
        </is>
      </c>
      <c r="C2753" s="2" t="inlineStr">
        <is>
          <t>9H.JNE77.13E</t>
        </is>
      </c>
      <c r="D2753" s="2" t="inlineStr">
        <is>
          <t>Проектор Benq MX560 DLP 4000Lm (1024x768) 20000:1 ресурс лампы:6000часов 1xUSB typeA 2xHDMI 2.3кг</t>
        </is>
      </c>
      <c r="E2753" s="2" t="inlineStr">
        <is>
          <t>+++ </t>
        </is>
      </c>
      <c r="F2753" s="2" t="inlineStr">
        <is>
          <t>+++ </t>
        </is>
      </c>
      <c r="H2753" s="2">
        <v>681</v>
      </c>
      <c r="I2753" s="2" t="inlineStr">
        <is>
          <t>$</t>
        </is>
      </c>
      <c r="J2753" s="2">
        <f>HYPERLINK("https://app.astro.lead-studio.pro/product/148bace6-e7a6-489e-8dbb-5de60dd004c3")</f>
      </c>
    </row>
    <row r="2754" spans="1:10" customHeight="0">
      <c r="A2754" s="2" t="inlineStr">
        <is>
          <t>Проекционное оборудование</t>
        </is>
      </c>
      <c r="B2754" s="2" t="inlineStr">
        <is>
          <t>BENQ</t>
        </is>
      </c>
      <c r="C2754" s="2" t="inlineStr">
        <is>
          <t>9H.JLS77.1JE</t>
        </is>
      </c>
      <c r="D2754" s="2" t="inlineStr">
        <is>
          <t>Проектор Benq TH585P (new) DLP 3500Lm LS (1920x1080) 10000:1 ресурс лампы:4000часов 1xUSB typeA 2xHDMI 2.79кг</t>
        </is>
      </c>
      <c r="E2754" s="2" t="inlineStr">
        <is>
          <t>+ </t>
        </is>
      </c>
      <c r="F2754" s="2" t="inlineStr">
        <is>
          <t>+ </t>
        </is>
      </c>
      <c r="H2754" s="2">
        <v>824</v>
      </c>
      <c r="I2754" s="2" t="inlineStr">
        <is>
          <t>$</t>
        </is>
      </c>
      <c r="J2754" s="2">
        <f>HYPERLINK("https://app.astro.lead-studio.pro/product/f187fd4d-94be-4c22-a2d4-8fa7494d89ed")</f>
      </c>
    </row>
    <row r="2755" spans="1:10" customHeight="0">
      <c r="A2755" s="2" t="inlineStr">
        <is>
          <t>Проекционное оборудование</t>
        </is>
      </c>
      <c r="B2755" s="2" t="inlineStr">
        <is>
          <t>BENQ</t>
        </is>
      </c>
      <c r="C2755" s="2" t="inlineStr">
        <is>
          <t>9H.JGY77.1JE</t>
        </is>
      </c>
      <c r="D2755" s="2" t="inlineStr">
        <is>
          <t>Проектор Benq TH671ST DLP 3000Lm LS (1920x1080) 10000:1 ресурс лампы:4000часов 1xUSB typeA 2xHDMI 2.7кг</t>
        </is>
      </c>
      <c r="E2755" s="2" t="inlineStr">
        <is>
          <t>+ </t>
        </is>
      </c>
      <c r="F2755" s="2" t="inlineStr">
        <is>
          <t>+ </t>
        </is>
      </c>
      <c r="H2755" s="2">
        <v>1102</v>
      </c>
      <c r="I2755" s="2" t="inlineStr">
        <is>
          <t>$</t>
        </is>
      </c>
      <c r="J2755" s="2">
        <f>HYPERLINK("https://app.astro.lead-studio.pro/product/1b772214-c90f-453e-b202-dadb65031587")</f>
      </c>
    </row>
    <row r="2756" spans="1:10" customHeight="0">
      <c r="A2756" s="2" t="inlineStr">
        <is>
          <t>Проекционное оборудование</t>
        </is>
      </c>
      <c r="B2756" s="2" t="inlineStr">
        <is>
          <t>BENQ</t>
        </is>
      </c>
      <c r="C2756" s="2" t="inlineStr">
        <is>
          <t>9H.JL877.1HE</t>
        </is>
      </c>
      <c r="D2756" s="2" t="inlineStr">
        <is>
          <t>Проектор Benq TH685P (new) DLP 3500Lm LS (1920x1080) 10000:1 ресурс лампы:4000часов 1xUSB typeA 2xHDMI 2.79кг</t>
        </is>
      </c>
      <c r="E2756" s="2" t="inlineStr">
        <is>
          <t>+ </t>
        </is>
      </c>
      <c r="F2756" s="2" t="inlineStr">
        <is>
          <t>+ </t>
        </is>
      </c>
      <c r="H2756" s="2">
        <v>990</v>
      </c>
      <c r="I2756" s="2" t="inlineStr">
        <is>
          <t>$</t>
        </is>
      </c>
      <c r="J2756" s="2">
        <f>HYPERLINK("https://app.astro.lead-studio.pro/product/3ead516b-9994-4f60-832f-28a8db7479db")</f>
      </c>
    </row>
    <row r="2757" spans="1:10" customHeight="0">
      <c r="A2757" s="2" t="inlineStr">
        <is>
          <t>Проекционное оборудование</t>
        </is>
      </c>
      <c r="B2757" s="2" t="inlineStr">
        <is>
          <t>BENQ</t>
        </is>
      </c>
      <c r="C2757" s="2" t="inlineStr">
        <is>
          <t>9H.JL877.14E</t>
        </is>
      </c>
      <c r="D2757" s="2" t="inlineStr">
        <is>
          <t>Проектор Benq TH685P DLP 3500Lm (1920x1080) 10000:1 ресурс лампы:4000часов 1xUSB typeA 2xHDMI 2.79кг</t>
        </is>
      </c>
      <c r="E2757" s="2" t="inlineStr">
        <is>
          <t>+ </t>
        </is>
      </c>
      <c r="F2757" s="2" t="inlineStr">
        <is>
          <t>+ </t>
        </is>
      </c>
      <c r="H2757" s="2">
        <v>973</v>
      </c>
      <c r="I2757" s="2" t="inlineStr">
        <is>
          <t>$</t>
        </is>
      </c>
      <c r="J2757" s="2">
        <f>HYPERLINK("https://app.astro.lead-studio.pro/product/6ff891a4-974d-4466-a637-92c6f737ee7f")</f>
      </c>
    </row>
    <row r="2758" spans="1:10" customHeight="0">
      <c r="A2758" s="2" t="inlineStr">
        <is>
          <t>Проекционное оборудование</t>
        </is>
      </c>
      <c r="B2758" s="2" t="inlineStr">
        <is>
          <t>BENQ</t>
        </is>
      </c>
      <c r="C2758" s="2" t="inlineStr">
        <is>
          <t>9H.JP877.1HE</t>
        </is>
      </c>
      <c r="D2758" s="2" t="inlineStr">
        <is>
          <t>Проектор Benq TK700ST DLP 3000Lm ANSI (3840x2160) 10000:1 ресурс лампы:3000часов 1xUSB typeA 2xHDMI 3.1кг</t>
        </is>
      </c>
      <c r="E2758" s="2" t="inlineStr">
        <is>
          <t>+ </t>
        </is>
      </c>
      <c r="F2758" s="2" t="inlineStr">
        <is>
          <t>+ </t>
        </is>
      </c>
      <c r="H2758" s="2">
        <v>1570</v>
      </c>
      <c r="I2758" s="2" t="inlineStr">
        <is>
          <t>$</t>
        </is>
      </c>
      <c r="J2758" s="2">
        <f>HYPERLINK("https://app.astro.lead-studio.pro/product/f9d7a75e-aa1d-462e-8725-bf954403447c")</f>
      </c>
    </row>
    <row r="2759" spans="1:10" customHeight="0">
      <c r="A2759" s="2" t="inlineStr">
        <is>
          <t>Проекционное оборудование</t>
        </is>
      </c>
      <c r="B2759" s="2" t="inlineStr">
        <is>
          <t>CACTUS</t>
        </is>
      </c>
      <c r="C2759" s="2" t="inlineStr">
        <is>
          <t>CS-C4.SG</t>
        </is>
      </c>
      <c r="D2759" s="2" t="inlineStr">
        <is>
          <t>Проектор Cactus CS-C4.SG DLP 28500Lm LS 2850Lm ANSI (1920x1080) 800000:1 ресурс лампы:25000часов 1xUSB typeA 2xHDMI 6.8кг</t>
        </is>
      </c>
      <c r="E2759" s="2" t="inlineStr">
        <is>
          <t>+ </t>
        </is>
      </c>
      <c r="F2759" s="2" t="inlineStr">
        <is>
          <t>+ </t>
        </is>
      </c>
      <c r="H2759" s="2">
        <v>1872</v>
      </c>
      <c r="I2759" s="2" t="inlineStr">
        <is>
          <t>$</t>
        </is>
      </c>
      <c r="J2759" s="2">
        <f>HYPERLINK("https://app.astro.lead-studio.pro/product/2f164829-5269-4b20-b481-e9be8835278b")</f>
      </c>
    </row>
    <row r="2760" spans="1:10" customHeight="0">
      <c r="A2760" s="2" t="inlineStr">
        <is>
          <t>Проекционное оборудование</t>
        </is>
      </c>
      <c r="B2760" s="2" t="inlineStr">
        <is>
          <t>CACTUS</t>
        </is>
      </c>
      <c r="C2760" s="2" t="inlineStr">
        <is>
          <t>CS-E2.SG</t>
        </is>
      </c>
      <c r="D2760" s="2" t="inlineStr">
        <is>
          <t>Проектор Cactus CS-E2.SG DLP 3500Lm LS 350Lm ANSI (1920x1080) 200000:1 ресурс лампы:20000часов 1xUSB typeA 1xHDMI 4.2кг</t>
        </is>
      </c>
      <c r="E2760" s="2" t="inlineStr">
        <is>
          <t>+ </t>
        </is>
      </c>
      <c r="F2760" s="2" t="inlineStr">
        <is>
          <t>+ </t>
        </is>
      </c>
      <c r="H2760" s="2">
        <v>585</v>
      </c>
      <c r="I2760" s="2" t="inlineStr">
        <is>
          <t>$</t>
        </is>
      </c>
      <c r="J2760" s="2">
        <f>HYPERLINK("https://app.astro.lead-studio.pro/product/fa74dc90-c042-4a36-983b-2b190e5f567f")</f>
      </c>
    </row>
    <row r="2761" spans="1:10" customHeight="0">
      <c r="A2761" s="2" t="inlineStr">
        <is>
          <t>Проекционное оборудование</t>
        </is>
      </c>
      <c r="B2761" s="2" t="inlineStr">
        <is>
          <t>CACTUS</t>
        </is>
      </c>
      <c r="C2761" s="2" t="inlineStr">
        <is>
          <t>CS-H3.SG</t>
        </is>
      </c>
      <c r="D2761" s="2" t="inlineStr">
        <is>
          <t>Проектор Cactus CS-H3.SG DLP 10500Lm LS 1050Lm ANSI (1920x1080) 200000:1 ресурс лампы:20000часов 1xUSB typeA 1xHDMI 3.1кг</t>
        </is>
      </c>
      <c r="E2761" s="2" t="inlineStr">
        <is>
          <t>+ </t>
        </is>
      </c>
      <c r="F2761" s="2" t="inlineStr">
        <is>
          <t>+ </t>
        </is>
      </c>
      <c r="H2761" s="2">
        <v>857</v>
      </c>
      <c r="I2761" s="2" t="inlineStr">
        <is>
          <t>$</t>
        </is>
      </c>
      <c r="J2761" s="2">
        <f>HYPERLINK("https://app.astro.lead-studio.pro/product/ea726777-1b87-4c75-a8b2-543203b25669")</f>
      </c>
    </row>
    <row r="2762" spans="1:10" customHeight="0">
      <c r="A2762" s="2" t="inlineStr">
        <is>
          <t>Проекционное оборудование</t>
        </is>
      </c>
      <c r="B2762" s="2" t="inlineStr">
        <is>
          <t>CACTUS</t>
        </is>
      </c>
      <c r="C2762" s="2" t="inlineStr">
        <is>
          <t>CS-M1.SG</t>
        </is>
      </c>
      <c r="D2762" s="2" t="inlineStr">
        <is>
          <t>Проектор Cactus CS-M1.SG DLP 6000Lm LS 600Lm ANSI (1920x1080) 200000:1 ресурс лампы:20000часов 1xUSB typeA 1xHDMI 1.9кг</t>
        </is>
      </c>
      <c r="E2762" s="2" t="inlineStr">
        <is>
          <t>+ </t>
        </is>
      </c>
      <c r="F2762" s="2" t="inlineStr">
        <is>
          <t>+ </t>
        </is>
      </c>
      <c r="H2762" s="2">
        <v>775</v>
      </c>
      <c r="I2762" s="2" t="inlineStr">
        <is>
          <t>$</t>
        </is>
      </c>
      <c r="J2762" s="2">
        <f>HYPERLINK("https://app.astro.lead-studio.pro/product/5d9c1c39-70d3-4d16-8ab9-2953fb04f48e")</f>
      </c>
    </row>
    <row r="2763" spans="1:10" customHeight="0">
      <c r="A2763" s="2" t="inlineStr">
        <is>
          <t>Проекционное оборудование</t>
        </is>
      </c>
      <c r="B2763" s="2" t="inlineStr">
        <is>
          <t>CACTUS</t>
        </is>
      </c>
      <c r="C2763" s="2" t="inlineStr">
        <is>
          <t>CS-PRU.03B.WUXGA-A</t>
        </is>
      </c>
      <c r="D2763" s="2" t="inlineStr">
        <is>
          <t>Проектор Cactus CS-PRU.03B.Full HD-A DLP 6500Lm LS 650Lm ANSI (1920x1080) 2000:1 ресурс лампы:30000часов 2xUSB typeA 1xHDMI 1.5кг</t>
        </is>
      </c>
      <c r="E2763" s="2" t="inlineStr">
        <is>
          <t>+ </t>
        </is>
      </c>
      <c r="F2763" s="2" t="inlineStr">
        <is>
          <t>+ </t>
        </is>
      </c>
      <c r="H2763" s="2">
        <v>712</v>
      </c>
      <c r="I2763" s="2" t="inlineStr">
        <is>
          <t>$</t>
        </is>
      </c>
      <c r="J2763" s="2">
        <f>HYPERLINK("https://app.astro.lead-studio.pro/product/fa91659a-9603-49a9-86ac-8465055792a0")</f>
      </c>
    </row>
    <row r="2764" spans="1:10" customHeight="0">
      <c r="A2764" s="2" t="inlineStr">
        <is>
          <t>Проекционное оборудование</t>
        </is>
      </c>
      <c r="B2764" s="2" t="inlineStr">
        <is>
          <t>CACTUS</t>
        </is>
      </c>
      <c r="C2764" s="2" t="inlineStr">
        <is>
          <t>CS-PRU.03WT.WUXGA-A</t>
        </is>
      </c>
      <c r="D2764" s="2" t="inlineStr">
        <is>
          <t>Проектор Cactus CS-PRU.03WT.Full HD-A DLP 6500Lm LS 650Lm ANSI (1920x1080) 2000:1 ресурс лампы:30000часов 2xUSB typeA 1xHDMI 1.5кг</t>
        </is>
      </c>
      <c r="E2764" s="2" t="inlineStr">
        <is>
          <t>+ </t>
        </is>
      </c>
      <c r="F2764" s="2" t="inlineStr">
        <is>
          <t>+ </t>
        </is>
      </c>
      <c r="H2764" s="2">
        <v>722</v>
      </c>
      <c r="I2764" s="2" t="inlineStr">
        <is>
          <t>$</t>
        </is>
      </c>
      <c r="J2764" s="2">
        <f>HYPERLINK("https://app.astro.lead-studio.pro/product/938cf245-185a-45d5-93bf-8f574b7bc39e")</f>
      </c>
    </row>
    <row r="2765" spans="1:10" customHeight="0">
      <c r="A2765" s="2" t="inlineStr">
        <is>
          <t>Проекционное оборудование</t>
        </is>
      </c>
      <c r="B2765" s="2" t="inlineStr">
        <is>
          <t>CACTUS</t>
        </is>
      </c>
      <c r="C2765" s="2" t="inlineStr">
        <is>
          <t>CS-S1.B</t>
        </is>
      </c>
      <c r="D2765" s="2" t="inlineStr">
        <is>
          <t>Проектор Cactus CS-S1.B 3LCD 34000Lm LS 3400Lm ANSI (1024x768) 15000:1 ресурс лампы:10000часов 1xHDMI 3.06кг</t>
        </is>
      </c>
      <c r="E2765" s="2" t="inlineStr">
        <is>
          <t>+ </t>
        </is>
      </c>
      <c r="F2765" s="2" t="inlineStr">
        <is>
          <t>+ </t>
        </is>
      </c>
      <c r="H2765" s="2">
        <v>625</v>
      </c>
      <c r="I2765" s="2" t="inlineStr">
        <is>
          <t>$</t>
        </is>
      </c>
      <c r="J2765" s="2">
        <f>HYPERLINK("https://app.astro.lead-studio.pro/product/b09cc20e-64ab-426c-bff1-0142829e5329")</f>
      </c>
    </row>
    <row r="2766" spans="1:10" customHeight="0">
      <c r="A2766" s="2" t="inlineStr">
        <is>
          <t>Проекционное оборудование</t>
        </is>
      </c>
      <c r="B2766" s="2" t="inlineStr">
        <is>
          <t>CACTUS</t>
        </is>
      </c>
      <c r="C2766" s="2" t="inlineStr">
        <is>
          <t>CS-S1.WT</t>
        </is>
      </c>
      <c r="D2766" s="2" t="inlineStr">
        <is>
          <t>Проектор Cactus CS-S1.WT 3LCD 34000Lm LS 3400Lm ANSI (1024x768) 15000:1 ресурс лампы:10000часов 1xHDMI 3.06кг</t>
        </is>
      </c>
      <c r="E2766" s="2" t="inlineStr">
        <is>
          <t>+ </t>
        </is>
      </c>
      <c r="F2766" s="2" t="inlineStr">
        <is>
          <t>+ </t>
        </is>
      </c>
      <c r="H2766" s="2">
        <v>621</v>
      </c>
      <c r="I2766" s="2" t="inlineStr">
        <is>
          <t>$</t>
        </is>
      </c>
      <c r="J2766" s="2">
        <f>HYPERLINK("https://app.astro.lead-studio.pro/product/cde3e0a3-985b-4f46-a669-d36aadab74f3")</f>
      </c>
    </row>
    <row r="2767" spans="1:10" customHeight="0">
      <c r="A2767" s="2" t="inlineStr">
        <is>
          <t>Проекционное оборудование</t>
        </is>
      </c>
      <c r="B2767" s="2" t="inlineStr">
        <is>
          <t>CACTUS</t>
        </is>
      </c>
      <c r="C2767" s="2" t="inlineStr">
        <is>
          <t>CS-S2.B</t>
        </is>
      </c>
      <c r="D2767" s="2" t="inlineStr">
        <is>
          <t>Проектор Cactus CS-S2.B 3LCD 40000Lm LS 4000Lm ANSI (1024x768) 15000:1 ресурс лампы:10000часов 1xUSB typeA 2xHDMI 3.26кг</t>
        </is>
      </c>
      <c r="E2767" s="2" t="inlineStr">
        <is>
          <t>+ </t>
        </is>
      </c>
      <c r="F2767" s="2" t="inlineStr">
        <is>
          <t>+ </t>
        </is>
      </c>
      <c r="H2767" s="2">
        <v>772</v>
      </c>
      <c r="I2767" s="2" t="inlineStr">
        <is>
          <t>$</t>
        </is>
      </c>
      <c r="J2767" s="2">
        <f>HYPERLINK("https://app.astro.lead-studio.pro/product/7715f60b-3e76-4773-a27d-b8f2afce5130")</f>
      </c>
    </row>
    <row r="2768" spans="1:10" customHeight="0">
      <c r="A2768" s="2" t="inlineStr">
        <is>
          <t>Проекционное оборудование</t>
        </is>
      </c>
      <c r="B2768" s="2" t="inlineStr">
        <is>
          <t>CACTUS</t>
        </is>
      </c>
      <c r="C2768" s="2" t="inlineStr">
        <is>
          <t>CS-S2.WT</t>
        </is>
      </c>
      <c r="D2768" s="2" t="inlineStr">
        <is>
          <t>Проектор Cactus CS-S2.WT 3LCD 40000Lm LS 4000Lm ANSI (1024x768) 15000:1 ресурс лампы:10000часов 1xUSB typeA 2xHDMI 3.26кг</t>
        </is>
      </c>
      <c r="E2768" s="2" t="inlineStr">
        <is>
          <t>+ </t>
        </is>
      </c>
      <c r="F2768" s="2" t="inlineStr">
        <is>
          <t>+ </t>
        </is>
      </c>
      <c r="H2768" s="2">
        <v>784</v>
      </c>
      <c r="I2768" s="2" t="inlineStr">
        <is>
          <t>$</t>
        </is>
      </c>
      <c r="J2768" s="2">
        <f>HYPERLINK("https://app.astro.lead-studio.pro/product/9d6e0fc0-659f-4f28-9fc0-c82d6667303c")</f>
      </c>
    </row>
    <row r="2769" spans="1:10" customHeight="0">
      <c r="A2769" s="2" t="inlineStr">
        <is>
          <t>Проекционное оборудование</t>
        </is>
      </c>
      <c r="B2769" s="2" t="inlineStr">
        <is>
          <t>CACTUS</t>
        </is>
      </c>
      <c r="C2769" s="2" t="inlineStr">
        <is>
          <t>CS-S3.B</t>
        </is>
      </c>
      <c r="D2769" s="2" t="inlineStr">
        <is>
          <t>Проектор Cactus CS-S3.B 3LCD 43000Lm LS 4300Lm ANSI (1280x1024) 15000:1 ресурс лампы:10000часов 1xUSB typeA 2xHDMI 3.26кг</t>
        </is>
      </c>
      <c r="E2769" s="2" t="inlineStr">
        <is>
          <t>+ </t>
        </is>
      </c>
      <c r="F2769" s="2" t="inlineStr">
        <is>
          <t>+ </t>
        </is>
      </c>
      <c r="H2769" s="2">
        <v>863</v>
      </c>
      <c r="I2769" s="2" t="inlineStr">
        <is>
          <t>$</t>
        </is>
      </c>
      <c r="J2769" s="2">
        <f>HYPERLINK("https://app.astro.lead-studio.pro/product/976fe98a-a74c-4dc1-9699-cc77d1e70723")</f>
      </c>
    </row>
    <row r="2770" spans="1:10" customHeight="0">
      <c r="A2770" s="2" t="inlineStr">
        <is>
          <t>Проекционное оборудование</t>
        </is>
      </c>
      <c r="B2770" s="2" t="inlineStr">
        <is>
          <t>CACTUS</t>
        </is>
      </c>
      <c r="C2770" s="2" t="inlineStr">
        <is>
          <t>CS-S3.WT</t>
        </is>
      </c>
      <c r="D2770" s="2" t="inlineStr">
        <is>
          <t>Проектор Cactus CS-S3.WT 3LCD 43000Lm LS 4300Lm ANSI (1280x1024) 15000:1 ресурс лампы:10000часов 1xUSB typeA 2xHDMI 3.26кг</t>
        </is>
      </c>
      <c r="E2770" s="2" t="inlineStr">
        <is>
          <t>+ </t>
        </is>
      </c>
      <c r="F2770" s="2" t="inlineStr">
        <is>
          <t>+ </t>
        </is>
      </c>
      <c r="H2770" s="2">
        <v>874</v>
      </c>
      <c r="I2770" s="2" t="inlineStr">
        <is>
          <t>$</t>
        </is>
      </c>
      <c r="J2770" s="2">
        <f>HYPERLINK("https://app.astro.lead-studio.pro/product/b83baf4e-1e37-4c47-bfd3-c7dc1e6c4319")</f>
      </c>
    </row>
    <row r="2771" spans="1:10" customHeight="0">
      <c r="A2771" s="2" t="inlineStr">
        <is>
          <t>Проекционное оборудование</t>
        </is>
      </c>
      <c r="B2771" s="2" t="inlineStr">
        <is>
          <t>CACTUS</t>
        </is>
      </c>
      <c r="C2771" s="2" t="inlineStr">
        <is>
          <t>CS-U1.SG</t>
        </is>
      </c>
      <c r="D2771" s="2" t="inlineStr">
        <is>
          <t>Проектор Cactus CS-U1.SG DLP 17000Lm LS 1700Lm ANSI (3840x2160) 800000:1 ресурс лампы:25000часов 2xUSB typeA 2xHDMI 9.7кг</t>
        </is>
      </c>
      <c r="E2771" s="2" t="inlineStr">
        <is>
          <t>+ </t>
        </is>
      </c>
      <c r="F2771" s="2" t="inlineStr">
        <is>
          <t>+ </t>
        </is>
      </c>
      <c r="H2771" s="2">
        <v>1930</v>
      </c>
      <c r="I2771" s="2" t="inlineStr">
        <is>
          <t>$</t>
        </is>
      </c>
      <c r="J2771" s="2">
        <f>HYPERLINK("https://app.astro.lead-studio.pro/product/7cfeacca-bf6a-43e4-ab3c-32116f7537a7")</f>
      </c>
    </row>
    <row r="2772" spans="1:10" customHeight="0">
      <c r="A2772" s="2" t="inlineStr">
        <is>
          <t>Проекционное оборудование</t>
        </is>
      </c>
      <c r="B2772" s="2" t="inlineStr">
        <is>
          <t>EPSON</t>
        </is>
      </c>
      <c r="C2772" s="2" t="inlineStr">
        <is>
          <t>V11HA86040</t>
        </is>
      </c>
      <c r="D2772" s="2" t="inlineStr">
        <is>
          <t>Проектор Epson CO-W01 3LCD 3000Lm (1280x800) 300:1 ресурс лампы:6000часов 1xUSB typeA 1xUSB typeB 1xHDMI 2.2кг</t>
        </is>
      </c>
      <c r="E2772" s="2" t="inlineStr">
        <is>
          <t>+ </t>
        </is>
      </c>
      <c r="F2772" s="2" t="inlineStr">
        <is>
          <t>+ </t>
        </is>
      </c>
      <c r="H2772" s="2">
        <v>615</v>
      </c>
      <c r="I2772" s="2" t="inlineStr">
        <is>
          <t>$</t>
        </is>
      </c>
      <c r="J2772" s="2">
        <f>HYPERLINK("https://app.astro.lead-studio.pro/product/862ad5da-1489-4cc5-aab6-c1355cc5057e")</f>
      </c>
    </row>
    <row r="2773" spans="1:10" customHeight="0">
      <c r="A2773" s="2" t="inlineStr">
        <is>
          <t>Проекционное оборудование</t>
        </is>
      </c>
      <c r="B2773" s="2" t="inlineStr">
        <is>
          <t>EPSON</t>
        </is>
      </c>
      <c r="C2773" s="2" t="inlineStr">
        <is>
          <t>V11H987040</t>
        </is>
      </c>
      <c r="D2773" s="2" t="inlineStr">
        <is>
          <t>Проектор Epson EB-982W 3LCD 4200Lm (1280x800) 16000:1 ресурс лампы:6500часов 1xUSB typeA 1xUSB typeB 2xHDMI 3.1кг</t>
        </is>
      </c>
      <c r="E2773" s="2" t="inlineStr">
        <is>
          <t>+ </t>
        </is>
      </c>
      <c r="F2773" s="2" t="inlineStr">
        <is>
          <t>+ </t>
        </is>
      </c>
      <c r="H2773" s="2">
        <v>1363</v>
      </c>
      <c r="I2773" s="2" t="inlineStr">
        <is>
          <t>$</t>
        </is>
      </c>
      <c r="J2773" s="2">
        <f>HYPERLINK("https://app.astro.lead-studio.pro/product/cafd36c8-4bc1-4c55-9e48-7295e6bf3212")</f>
      </c>
    </row>
    <row r="2774" spans="1:10" customHeight="0">
      <c r="A2774" s="2" t="inlineStr">
        <is>
          <t>Проекционное оборудование</t>
        </is>
      </c>
      <c r="B2774" s="2" t="inlineStr">
        <is>
          <t>EPSON</t>
        </is>
      </c>
      <c r="C2774" s="2" t="inlineStr">
        <is>
          <t>V11H974040</t>
        </is>
      </c>
      <c r="D2774" s="2" t="inlineStr">
        <is>
          <t>Проектор Epson EB-FH06 LCD 3500Lm (1920x1080) 16000:1 ресурс лампы:6000часов 1xUSB typeA 1xUSB typeB 2xHDMI 2.7кг</t>
        </is>
      </c>
      <c r="E2774" s="2" t="inlineStr">
        <is>
          <t>+ </t>
        </is>
      </c>
      <c r="F2774" s="2" t="inlineStr">
        <is>
          <t>+ </t>
        </is>
      </c>
      <c r="H2774" s="2">
        <v>1371</v>
      </c>
      <c r="I2774" s="2" t="inlineStr">
        <is>
          <t>$</t>
        </is>
      </c>
      <c r="J2774" s="2">
        <f>HYPERLINK("https://app.astro.lead-studio.pro/product/42359797-4d71-4fc7-a11f-5fdde6cdcf31")</f>
      </c>
    </row>
    <row r="2775" spans="1:10" customHeight="0">
      <c r="A2775" s="2" t="inlineStr">
        <is>
          <t>Проекционное оборудование</t>
        </is>
      </c>
      <c r="B2775" s="2" t="inlineStr">
        <is>
          <t>EPSON</t>
        </is>
      </c>
      <c r="C2775" s="2" t="inlineStr">
        <is>
          <t>V11H978040</t>
        </is>
      </c>
      <c r="D2775" s="2" t="inlineStr">
        <is>
          <t>Проектор Epson EB-FH52 LCD 4000Lm (1920x1080) 16000:1 ресурс лампы:5500часов 1xUSB typeA 1xUSB typeB 2xHDMI 3.1кг</t>
        </is>
      </c>
      <c r="E2775" s="2" t="inlineStr">
        <is>
          <t>+ </t>
        </is>
      </c>
      <c r="F2775" s="2" t="inlineStr">
        <is>
          <t>+ </t>
        </is>
      </c>
      <c r="H2775" s="2">
        <v>1503</v>
      </c>
      <c r="I2775" s="2" t="inlineStr">
        <is>
          <t>$</t>
        </is>
      </c>
      <c r="J2775" s="2">
        <f>HYPERLINK("https://app.astro.lead-studio.pro/product/e21792e0-d2f9-469c-8849-e0987181f3ad")</f>
      </c>
    </row>
    <row r="2776" spans="1:10" customHeight="0">
      <c r="A2776" s="2" t="inlineStr">
        <is>
          <t>Проекционное оборудование</t>
        </is>
      </c>
      <c r="B2776" s="2" t="inlineStr">
        <is>
          <t>EPSON</t>
        </is>
      </c>
      <c r="C2776" s="2" t="inlineStr">
        <is>
          <t>V11H979040</t>
        </is>
      </c>
      <c r="D2776" s="2" t="inlineStr">
        <is>
          <t>Проектор Epson EH-TW740 3LCD 3300Lm (1920x1080) 16000:1 ресурс лампы:6000часов 1xUSB typeA 1xUSB typeB 1xHDMI 2.7кг</t>
        </is>
      </c>
      <c r="E2776" s="2" t="inlineStr">
        <is>
          <t>+ </t>
        </is>
      </c>
      <c r="F2776" s="2" t="inlineStr">
        <is>
          <t>+ </t>
        </is>
      </c>
      <c r="H2776" s="2">
        <v>1309</v>
      </c>
      <c r="I2776" s="2" t="inlineStr">
        <is>
          <t>$</t>
        </is>
      </c>
      <c r="J2776" s="2">
        <f>HYPERLINK("https://app.astro.lead-studio.pro/product/323df171-55e0-4b58-80e3-3e6adb6e1ef7")</f>
      </c>
    </row>
    <row r="2777" spans="1:10" customHeight="0">
      <c r="A2777" s="2" t="inlineStr">
        <is>
          <t>Проекционное оборудование</t>
        </is>
      </c>
      <c r="B2777" s="2" t="inlineStr">
        <is>
          <t>INFOCUS</t>
        </is>
      </c>
      <c r="C2777" s="2" t="inlineStr">
        <is>
          <t>IN1024</t>
        </is>
      </c>
      <c r="D2777" s="2" t="inlineStr">
        <is>
          <t>Проектор Infocus IN1024 LCD 4000Lm (1024x768) 50000:1 ресурс лампы:10000часов 1xUSB typeB 2xHDMI 3.3кг</t>
        </is>
      </c>
      <c r="E2777" s="2" t="inlineStr">
        <is>
          <t>+ </t>
        </is>
      </c>
      <c r="F2777" s="2" t="inlineStr">
        <is>
          <t>+ </t>
        </is>
      </c>
      <c r="H2777" s="2">
        <v>692</v>
      </c>
      <c r="I2777" s="2" t="inlineStr">
        <is>
          <t>$</t>
        </is>
      </c>
      <c r="J2777" s="2">
        <f>HYPERLINK("https://app.astro.lead-studio.pro/product/a9214484-18d5-4bba-bb74-22d47758c078")</f>
      </c>
    </row>
    <row r="2778" spans="1:10" customHeight="0">
      <c r="A2778" s="2" t="inlineStr">
        <is>
          <t>Проекционное оборудование</t>
        </is>
      </c>
      <c r="B2778" s="2" t="inlineStr">
        <is>
          <t>INFOCUS</t>
        </is>
      </c>
      <c r="C2778" s="2" t="inlineStr">
        <is>
          <t>IN1034</t>
        </is>
      </c>
      <c r="D2778" s="2" t="inlineStr">
        <is>
          <t>Проектор Infocus IN1034 LCD 5000Lm LS (1024x768) 50000:1 ресурс лампы:10000часов 1xUSB typeA 1xUSB typeB 2xHDMI 3.3кг</t>
        </is>
      </c>
      <c r="E2778" s="2" t="inlineStr">
        <is>
          <t>+ </t>
        </is>
      </c>
      <c r="F2778" s="2" t="inlineStr">
        <is>
          <t>+ </t>
        </is>
      </c>
      <c r="H2778" s="2">
        <v>825</v>
      </c>
      <c r="I2778" s="2" t="inlineStr">
        <is>
          <t>$</t>
        </is>
      </c>
      <c r="J2778" s="2">
        <f>HYPERLINK("https://app.astro.lead-studio.pro/product/febca4d4-48d9-4803-a96e-521d642ab702")</f>
      </c>
    </row>
    <row r="2779" spans="1:10" customHeight="0">
      <c r="A2779" s="2" t="inlineStr">
        <is>
          <t>Проекционное оборудование</t>
        </is>
      </c>
      <c r="B2779" s="2" t="inlineStr">
        <is>
          <t>INFOCUS</t>
        </is>
      </c>
      <c r="C2779" s="2" t="inlineStr">
        <is>
          <t>IN114BBST</t>
        </is>
      </c>
      <c r="D2779" s="2" t="inlineStr">
        <is>
          <t>Проектор Infocus IN114BBST DLP 3500Lm (1024x768) 30000:1 ресурс лампы:8000часов 1xUSB typeA 2xHDMI 2.9кг</t>
        </is>
      </c>
      <c r="E2779" s="2" t="inlineStr">
        <is>
          <t>+ </t>
        </is>
      </c>
      <c r="F2779" s="2" t="inlineStr">
        <is>
          <t>+ </t>
        </is>
      </c>
      <c r="H2779" s="2">
        <v>723</v>
      </c>
      <c r="I2779" s="2" t="inlineStr">
        <is>
          <t>$</t>
        </is>
      </c>
      <c r="J2779" s="2">
        <f>HYPERLINK("https://app.astro.lead-studio.pro/product/9254d170-a190-4284-a482-ec47c1a0c243")</f>
      </c>
    </row>
    <row r="2780" spans="1:10" customHeight="0">
      <c r="A2780" s="2" t="inlineStr">
        <is>
          <t>Проекционное оборудование</t>
        </is>
      </c>
      <c r="B2780" s="2" t="inlineStr">
        <is>
          <t>INFOCUS</t>
        </is>
      </c>
      <c r="C2780" s="2" t="inlineStr">
        <is>
          <t>IN134ST</t>
        </is>
      </c>
      <c r="D2780" s="2" t="inlineStr">
        <is>
          <t>Проектор Infocus IN134ST DLP 4000Lm (1024x768) 28500:1 ресурс лампы:8000часов 1xUSB typeA 3xHDMI 3.2кг</t>
        </is>
      </c>
      <c r="E2780" s="2" t="inlineStr">
        <is>
          <t>+ </t>
        </is>
      </c>
      <c r="F2780" s="2" t="inlineStr">
        <is>
          <t>+ </t>
        </is>
      </c>
      <c r="H2780" s="2">
        <v>771</v>
      </c>
      <c r="I2780" s="2" t="inlineStr">
        <is>
          <t>$</t>
        </is>
      </c>
      <c r="J2780" s="2">
        <f>HYPERLINK("https://app.astro.lead-studio.pro/product/5bae06c1-62d9-4ba6-bdc8-5cdc6b14607c")</f>
      </c>
    </row>
    <row r="2781" spans="1:10" customHeight="0">
      <c r="A2781" s="2" t="inlineStr">
        <is>
          <t>Проекционное оборудование</t>
        </is>
      </c>
      <c r="B2781" s="2" t="inlineStr">
        <is>
          <t>INFOCUS</t>
        </is>
      </c>
      <c r="C2781" s="2" t="inlineStr">
        <is>
          <t>IN138HD</t>
        </is>
      </c>
      <c r="D2781" s="2" t="inlineStr">
        <is>
          <t>Проектор Infocus IN138HD DLP 4000Lm (1920x1080) 28500:1 ресурс лампы:5500часов 3xHDMI 3.2кг</t>
        </is>
      </c>
      <c r="E2781" s="2" t="inlineStr">
        <is>
          <t>+ </t>
        </is>
      </c>
      <c r="F2781" s="2" t="inlineStr">
        <is>
          <t>+ </t>
        </is>
      </c>
      <c r="H2781" s="2">
        <v>1067</v>
      </c>
      <c r="I2781" s="2" t="inlineStr">
        <is>
          <t>$</t>
        </is>
      </c>
      <c r="J2781" s="2">
        <f>HYPERLINK("https://app.astro.lead-studio.pro/product/2e1d96d7-de41-41f8-beb4-cd47bdaf840d")</f>
      </c>
    </row>
    <row r="2782" spans="1:10" customHeight="0">
      <c r="A2782" s="2" t="inlineStr">
        <is>
          <t>Проекционное оборудование</t>
        </is>
      </c>
      <c r="B2782" s="2" t="inlineStr">
        <is>
          <t>INFOCUS</t>
        </is>
      </c>
      <c r="C2782" s="2" t="inlineStr">
        <is>
          <t>SP124</t>
        </is>
      </c>
      <c r="D2782" s="2" t="inlineStr">
        <is>
          <t>Проектор Infocus ScreenPlay SP124 DLP 4000Lm LS 4000Lm ANSI (1024x768) 30000:1 ресурс лампы:15000часов 1xUSB typeA 2xHDMI 2.9кг</t>
        </is>
      </c>
      <c r="E2782" s="2" t="inlineStr">
        <is>
          <t>+ </t>
        </is>
      </c>
      <c r="F2782" s="2" t="inlineStr">
        <is>
          <t>+ </t>
        </is>
      </c>
      <c r="H2782" s="2">
        <v>522</v>
      </c>
      <c r="I2782" s="2" t="inlineStr">
        <is>
          <t>$</t>
        </is>
      </c>
      <c r="J2782" s="2">
        <f>HYPERLINK("https://app.astro.lead-studio.pro/product/1e7eec00-30a1-48d3-b981-4a9f3a2180d7")</f>
      </c>
    </row>
    <row r="2783" spans="1:10" customHeight="0">
      <c r="A2783" s="2" t="inlineStr">
        <is>
          <t>Проекционное оборудование</t>
        </is>
      </c>
      <c r="B2783" s="2" t="inlineStr">
        <is>
          <t>INFOCUS</t>
        </is>
      </c>
      <c r="C2783" s="2" t="inlineStr">
        <is>
          <t>SP224</t>
        </is>
      </c>
      <c r="D2783" s="2" t="inlineStr">
        <is>
          <t>Проектор Infocus ScreenPlay SP224 DLP 4000Lm LS 4000Lm ANSI (1024x768) 30000:1 ресурс лампы:15000часов 1xUSB typeA 2xHDMI 2.9кг</t>
        </is>
      </c>
      <c r="E2783" s="2" t="inlineStr">
        <is>
          <t>+ </t>
        </is>
      </c>
      <c r="F2783" s="2" t="inlineStr">
        <is>
          <t>+ </t>
        </is>
      </c>
      <c r="H2783" s="2">
        <v>536</v>
      </c>
      <c r="I2783" s="2" t="inlineStr">
        <is>
          <t>$</t>
        </is>
      </c>
      <c r="J2783" s="2">
        <f>HYPERLINK("https://app.astro.lead-studio.pro/product/a749db25-1a25-46e2-8b9e-d3e7bfb18742")</f>
      </c>
    </row>
    <row r="2784" spans="1:10" customHeight="0">
      <c r="A2784" s="2" t="inlineStr">
        <is>
          <t>Проекционное оборудование</t>
        </is>
      </c>
      <c r="B2784" s="2" t="inlineStr">
        <is>
          <t>INFOCUS</t>
        </is>
      </c>
      <c r="C2784" s="2" t="inlineStr">
        <is>
          <t>SP2238</t>
        </is>
      </c>
      <c r="D2784" s="2" t="inlineStr">
        <is>
          <t>Проектор Infocus SP2238 DLP 4400Lm LS 4400Lm ANSI (1920x1080) 30000:1 ресурс лампы:15000часов 1xUSB typeA 2xHDMI 2.9кг</t>
        </is>
      </c>
      <c r="E2784" s="2" t="inlineStr">
        <is>
          <t>+ </t>
        </is>
      </c>
      <c r="F2784" s="2" t="inlineStr">
        <is>
          <t>+ </t>
        </is>
      </c>
      <c r="H2784" s="2">
        <v>1273</v>
      </c>
      <c r="I2784" s="2" t="inlineStr">
        <is>
          <t>$</t>
        </is>
      </c>
      <c r="J2784" s="2">
        <f>HYPERLINK("https://app.astro.lead-studio.pro/product/0541b601-ef93-4526-98f8-16431a0faa25")</f>
      </c>
    </row>
    <row r="2785" spans="1:10" customHeight="0">
      <c r="A2785" s="2" t="inlineStr">
        <is>
          <t>Проекционное оборудование</t>
        </is>
      </c>
      <c r="B2785" s="2" t="inlineStr">
        <is>
          <t>INFOCUS</t>
        </is>
      </c>
      <c r="C2785" s="2" t="inlineStr">
        <is>
          <t>SP2238ST</t>
        </is>
      </c>
      <c r="D2785" s="2" t="inlineStr">
        <is>
          <t>Проектор Infocus SP2238ST DLP 4000Lm LS 4000Lm ANSI (1920x1080) 30000:1 ресурс лампы:15000часов 1xUSB typeA 2xHDMI 2.9кг</t>
        </is>
      </c>
      <c r="E2785" s="2" t="inlineStr">
        <is>
          <t>+ </t>
        </is>
      </c>
      <c r="F2785" s="2" t="inlineStr">
        <is>
          <t>+ </t>
        </is>
      </c>
      <c r="H2785" s="2">
        <v>1375</v>
      </c>
      <c r="I2785" s="2" t="inlineStr">
        <is>
          <t>$</t>
        </is>
      </c>
      <c r="J2785" s="2">
        <f>HYPERLINK("https://app.astro.lead-studio.pro/product/69c00200-7fe2-44d8-91c2-c6a23d0108e5")</f>
      </c>
    </row>
    <row r="2786" spans="1:10" customHeight="0">
      <c r="A2786" s="2" t="inlineStr">
        <is>
          <t>Проекционное оборудование</t>
        </is>
      </c>
      <c r="B2786" s="2" t="inlineStr">
        <is>
          <t>INFOCUS</t>
        </is>
      </c>
      <c r="C2786" s="2" t="inlineStr">
        <is>
          <t>SP226ST</t>
        </is>
      </c>
      <c r="D2786" s="2" t="inlineStr">
        <is>
          <t>Проектор Infocus SP226ST DLP 3800Lm LS 3800Lm ANSI (1280x800) 30000:1 ресурс лампы:15000часов 1xUSB typeA 2xHDMI 2.9кг</t>
        </is>
      </c>
      <c r="E2786" s="2" t="inlineStr">
        <is>
          <t>+ </t>
        </is>
      </c>
      <c r="F2786" s="2" t="inlineStr">
        <is>
          <t>+ </t>
        </is>
      </c>
      <c r="H2786" s="2">
        <v>903</v>
      </c>
      <c r="I2786" s="2" t="inlineStr">
        <is>
          <t>$</t>
        </is>
      </c>
      <c r="J2786" s="2">
        <f>HYPERLINK("https://app.astro.lead-studio.pro/product/ee6271c8-af8c-43e9-94d4-d8361dea06e2")</f>
      </c>
    </row>
    <row r="2787" spans="1:10" customHeight="0">
      <c r="A2787" s="2" t="inlineStr">
        <is>
          <t>Проекционное оборудование</t>
        </is>
      </c>
      <c r="B2787" s="2" t="inlineStr">
        <is>
          <t>INFOCUS</t>
        </is>
      </c>
      <c r="C2787" s="2" t="inlineStr">
        <is>
          <t>SP228</t>
        </is>
      </c>
      <c r="D2787" s="2" t="inlineStr">
        <is>
          <t>Проектор Infocus SP228 DLP 4000Lm LS 4000Lm ANSI (1920x1080) 30000:1 ресурс лампы:15000часов 1xUSB typeA 2xHDMI 2.9кг</t>
        </is>
      </c>
      <c r="E2787" s="2" t="inlineStr">
        <is>
          <t>+ </t>
        </is>
      </c>
      <c r="F2787" s="2" t="inlineStr">
        <is>
          <t>+ </t>
        </is>
      </c>
      <c r="H2787" s="2">
        <v>993</v>
      </c>
      <c r="I2787" s="2" t="inlineStr">
        <is>
          <t>$</t>
        </is>
      </c>
      <c r="J2787" s="2">
        <f>HYPERLINK("https://app.astro.lead-studio.pro/product/7a933b4b-6ef3-490b-aef0-aca3a934ad6d")</f>
      </c>
    </row>
    <row r="2788" spans="1:10" customHeight="0">
      <c r="A2788" s="2" t="inlineStr">
        <is>
          <t>Проекционное оборудование</t>
        </is>
      </c>
      <c r="B2788" s="2" t="inlineStr">
        <is>
          <t>LG</t>
        </is>
      </c>
      <c r="C2788" s="2" t="inlineStr">
        <is>
          <t>HU715QW</t>
        </is>
      </c>
      <c r="D2788" s="2" t="inlineStr">
        <is>
          <t>Проектор LG CineBeam HU715QW  DLP 2500Lm LS (3840x2160) 3000000:1 ресурс лампы:20000часов 2xUSB typeA 3xHDMI 11.1кг</t>
        </is>
      </c>
      <c r="E2788" s="2" t="inlineStr">
        <is>
          <t>+ </t>
        </is>
      </c>
      <c r="F2788" s="2" t="inlineStr">
        <is>
          <t>+ </t>
        </is>
      </c>
      <c r="H2788" s="2">
        <v>4689</v>
      </c>
      <c r="I2788" s="2" t="inlineStr">
        <is>
          <t>$</t>
        </is>
      </c>
      <c r="J2788" s="2">
        <f>HYPERLINK("https://app.astro.lead-studio.pro/product/a9c62fbc-7ac5-4e32-aa39-10702258d589")</f>
      </c>
    </row>
    <row r="2789" spans="1:10" customHeight="0">
      <c r="A2789" s="2" t="inlineStr">
        <is>
          <t>Проекционное оборудование</t>
        </is>
      </c>
      <c r="B2789" s="2" t="inlineStr">
        <is>
          <t>LG</t>
        </is>
      </c>
      <c r="C2789" s="2" t="inlineStr">
        <is>
          <t>BU50RG-GL.BMALLAN</t>
        </is>
      </c>
      <c r="D2789" s="2" t="inlineStr">
        <is>
          <t>Проектор LG ProBeam BU50RG DLP 5000Lm LS (3840x2160) 3000000:1 ресурс лампы:20000часов 2xUSB typeA 2xHDMI 9.7кг</t>
        </is>
      </c>
      <c r="E2789" s="2" t="inlineStr">
        <is>
          <t>+ </t>
        </is>
      </c>
      <c r="F2789" s="2" t="inlineStr">
        <is>
          <t>+ </t>
        </is>
      </c>
      <c r="H2789" s="2">
        <v>3992</v>
      </c>
      <c r="I2789" s="2" t="inlineStr">
        <is>
          <t>$</t>
        </is>
      </c>
      <c r="J2789" s="2">
        <f>HYPERLINK("https://app.astro.lead-studio.pro/product/b2a21f00-3804-4aac-84ea-f8f08f9430eb")</f>
      </c>
    </row>
    <row r="2790" spans="1:10" customHeight="0">
      <c r="A2790" s="2" t="inlineStr">
        <is>
          <t>Проекционное оборудование</t>
        </is>
      </c>
      <c r="B2790" s="2" t="inlineStr">
        <is>
          <t>XGIMI</t>
        </is>
      </c>
      <c r="C2790" s="2" t="inlineStr">
        <is>
          <t>XM03A</t>
        </is>
      </c>
      <c r="D2790" s="2" t="inlineStr">
        <is>
          <t>Проектор Xgimi Aura DLP 1800Lm LS 2250Lm ANSI (3840x1920) 3000:1 ресурс лампы:20000часов 2xUSB typeA 3xHDMI 11кг</t>
        </is>
      </c>
      <c r="E2790" s="2" t="inlineStr">
        <is>
          <t>+ </t>
        </is>
      </c>
      <c r="F2790" s="2" t="inlineStr">
        <is>
          <t>+ </t>
        </is>
      </c>
      <c r="H2790" s="2">
        <v>2619</v>
      </c>
      <c r="I2790" s="2" t="inlineStr">
        <is>
          <t>$</t>
        </is>
      </c>
      <c r="J2790" s="2">
        <f>HYPERLINK("https://app.astro.lead-studio.pro/product/29e13170-fcdc-43d5-ab50-2b1ba90daada")</f>
      </c>
    </row>
    <row r="2791" spans="1:10" customHeight="0">
      <c r="A2791" s="2" t="inlineStr">
        <is>
          <t>Проекционное оборудование</t>
        </is>
      </c>
      <c r="B2791" s="2" t="inlineStr">
        <is>
          <t>XGIMI</t>
        </is>
      </c>
      <c r="C2791" s="2" t="inlineStr">
        <is>
          <t>XM13Q</t>
        </is>
      </c>
      <c r="D2791" s="2" t="inlineStr">
        <is>
          <t>Проектор Xgimi Horizon S Max DLP 3100Lm LS (3840x2160) 1000000:1 ресурс лампы:20000часов 2xUSB typeA 1xHDMI 4.81кг</t>
        </is>
      </c>
      <c r="E2791" s="2" t="inlineStr">
        <is>
          <t>+ </t>
        </is>
      </c>
      <c r="F2791" s="2" t="inlineStr">
        <is>
          <t>+ </t>
        </is>
      </c>
      <c r="H2791" s="2">
        <v>2780</v>
      </c>
      <c r="I2791" s="2" t="inlineStr">
        <is>
          <t>$</t>
        </is>
      </c>
      <c r="J2791" s="2">
        <f>HYPERLINK("https://app.astro.lead-studio.pro/product/cfaefb99-70ca-46a2-a624-dd45e5111965")</f>
      </c>
    </row>
    <row r="2792" spans="1:10" customHeight="0">
      <c r="A2792" s="2" t="inlineStr">
        <is>
          <t>Проекционное оборудование</t>
        </is>
      </c>
      <c r="B2792" s="2" t="inlineStr">
        <is>
          <t>XGIMI</t>
        </is>
      </c>
      <c r="C2792" s="2" t="inlineStr">
        <is>
          <t>XM03Q</t>
        </is>
      </c>
      <c r="D2792" s="2" t="inlineStr">
        <is>
          <t>Проектор Xgimi Horizon S Pro DLP 1800Lm LS (3840x2160) 1000000:1 ресурс лампы:20000часов 2xUSB typeA 1xHDMI 4.75кг</t>
        </is>
      </c>
      <c r="E2792" s="2" t="inlineStr">
        <is>
          <t>+ </t>
        </is>
      </c>
      <c r="F2792" s="2" t="inlineStr">
        <is>
          <t>+ </t>
        </is>
      </c>
      <c r="H2792" s="2">
        <v>2175</v>
      </c>
      <c r="I2792" s="2" t="inlineStr">
        <is>
          <t>$</t>
        </is>
      </c>
      <c r="J2792" s="2">
        <f>HYPERLINK("https://app.astro.lead-studio.pro/product/255a4318-288d-49a3-86da-8d72acbdf20d")</f>
      </c>
    </row>
    <row r="2793" spans="1:10" customHeight="0">
      <c r="A2793" s="2" t="inlineStr">
        <is>
          <t>Проекционное оборудование</t>
        </is>
      </c>
      <c r="B2793" s="2" t="inlineStr">
        <is>
          <t>XGIMI</t>
        </is>
      </c>
      <c r="C2793" s="2" t="inlineStr">
        <is>
          <t>XM13N</t>
        </is>
      </c>
      <c r="D2793" s="2" t="inlineStr">
        <is>
          <t>Проектор Xgimi Horizon Ultra DLP 2300Lm LS 2875Lm ANSI (3840x2160) ресурс лампы:25000часов 2xUSB typeA 2xHDMI 5.2кг</t>
        </is>
      </c>
      <c r="E2793" s="2" t="inlineStr">
        <is>
          <t>+ </t>
        </is>
      </c>
      <c r="F2793" s="2" t="inlineStr">
        <is>
          <t>+ </t>
        </is>
      </c>
      <c r="H2793" s="2">
        <v>2312</v>
      </c>
      <c r="I2793" s="2" t="inlineStr">
        <is>
          <t>$</t>
        </is>
      </c>
      <c r="J2793" s="2">
        <f>HYPERLINK("https://app.astro.lead-studio.pro/product/24a456d2-f81e-46ee-a847-0688124114e4")</f>
      </c>
    </row>
    <row r="2794" spans="1:10" customHeight="0">
      <c r="A2794" s="2" t="inlineStr">
        <is>
          <t>Проекционное оборудование</t>
        </is>
      </c>
      <c r="B2794" s="2" t="inlineStr">
        <is>
          <t>XGIMI</t>
        </is>
      </c>
      <c r="C2794" s="2" t="inlineStr">
        <is>
          <t>XN13A</t>
        </is>
      </c>
      <c r="D2794" s="2" t="inlineStr">
        <is>
          <t>Проектор Xgimi MoGo 3 Pro DLP 450Lm LS (1920x1080) ресурс лампы:25000часов 1xUSB typeA 1.1кг</t>
        </is>
      </c>
      <c r="E2794" s="2" t="inlineStr">
        <is>
          <t>+ </t>
        </is>
      </c>
      <c r="F2794" s="2" t="inlineStr">
        <is>
          <t>+ </t>
        </is>
      </c>
      <c r="H2794" s="2">
        <v>732</v>
      </c>
      <c r="I2794" s="2" t="inlineStr">
        <is>
          <t>$</t>
        </is>
      </c>
      <c r="J2794" s="2">
        <f>HYPERLINK("https://app.astro.lead-studio.pro/product/2ab7b1ec-3ce2-4c1e-a0dd-aa13cf4931b4")</f>
      </c>
    </row>
    <row r="2795" spans="1:10" customHeight="0">
      <c r="A2795" s="2" t="inlineStr">
        <is>
          <t>Проекционное оборудование</t>
        </is>
      </c>
      <c r="B2795" s="2" t="inlineStr">
        <is>
          <t>CACTUS</t>
        </is>
      </c>
      <c r="C2795" s="2" t="inlineStr">
        <is>
          <t>CS-PSME-360X270-WT</t>
        </is>
      </c>
      <c r="D2795" s="2" t="inlineStr">
        <is>
          <t>Экран Cactus 270x360см MotoExpert CS-PSME-360x270-WT 4:3 настенно-потолочный рулонный белый (моторизованный привод)</t>
        </is>
      </c>
      <c r="E2795" s="2" t="inlineStr">
        <is>
          <t>+ </t>
        </is>
      </c>
      <c r="F2795" s="2" t="inlineStr">
        <is>
          <t>+ </t>
        </is>
      </c>
      <c r="H2795" s="2">
        <v>760</v>
      </c>
      <c r="I2795" s="2" t="inlineStr">
        <is>
          <t>$</t>
        </is>
      </c>
      <c r="J2795" s="2">
        <f>HYPERLINK("https://app.astro.lead-studio.pro/product/58e58f79-c108-4da6-b3f6-05ff88e9273c")</f>
      </c>
    </row>
    <row r="2796" spans="1:10" customHeight="0">
      <c r="A2796" s="2" t="inlineStr">
        <is>
          <t>Проекционное оборудование</t>
        </is>
      </c>
      <c r="B2796" s="2" t="inlineStr">
        <is>
          <t>CACTUS</t>
        </is>
      </c>
      <c r="C2796" s="2" t="inlineStr">
        <is>
          <t>CS-PSME-300X300-WT</t>
        </is>
      </c>
      <c r="D2796" s="2" t="inlineStr">
        <is>
          <t>Экран Cactus 300x300см MotoExpert CS-PSME-300x300-WT 1:1 настенно-потолочный рулонный белый (моторизованный привод)</t>
        </is>
      </c>
      <c r="E2796" s="2" t="inlineStr">
        <is>
          <t>+ </t>
        </is>
      </c>
      <c r="F2796" s="2" t="inlineStr">
        <is>
          <t>+ </t>
        </is>
      </c>
      <c r="H2796" s="2">
        <v>316</v>
      </c>
      <c r="I2796" s="2" t="inlineStr">
        <is>
          <t>$</t>
        </is>
      </c>
      <c r="J2796" s="2">
        <f>HYPERLINK("https://app.astro.lead-studio.pro/product/3b3e7f9a-c6b2-497f-be4f-1511703d7014")</f>
      </c>
    </row>
    <row r="2797" spans="1:10" customHeight="0">
      <c r="A2797" s="2" t="inlineStr">
        <is>
          <t>Проекционное оборудование</t>
        </is>
      </c>
      <c r="B2797" s="2" t="inlineStr">
        <is>
          <t>CACTUS</t>
        </is>
      </c>
      <c r="C2797" s="2" t="inlineStr">
        <is>
          <t>CS-PSME-420X315-WT</t>
        </is>
      </c>
      <c r="D2797" s="2" t="inlineStr">
        <is>
          <t>Экран Cactus 315x420см MotoExpert CS-PSME-420x315-WT 4:3 настенно-потолочный рулонный белый (моторизованный привод)</t>
        </is>
      </c>
      <c r="E2797" s="2" t="inlineStr">
        <is>
          <t>+ </t>
        </is>
      </c>
      <c r="F2797" s="2" t="inlineStr">
        <is>
          <t>+ </t>
        </is>
      </c>
      <c r="H2797" s="2">
        <v>739</v>
      </c>
      <c r="I2797" s="2" t="inlineStr">
        <is>
          <t>$</t>
        </is>
      </c>
      <c r="J2797" s="2">
        <f>HYPERLINK("https://app.astro.lead-studio.pro/product/e39065c8-b2ff-47cf-ab9e-d28dca225c2c")</f>
      </c>
    </row>
    <row r="2798" spans="1:10" customHeight="0">
      <c r="A2798" s="2" t="inlineStr">
        <is>
          <t>Проекционное оборудование</t>
        </is>
      </c>
      <c r="B2798" s="2" t="inlineStr">
        <is>
          <t>CACTUS</t>
        </is>
      </c>
      <c r="C2798" s="2" t="inlineStr">
        <is>
          <t>CS-PSME-360X360-WT</t>
        </is>
      </c>
      <c r="D2798" s="2" t="inlineStr">
        <is>
          <t>Экран Cactus 360x360см MotoExpert CS-PSME-360x360-WT 1:1 настенно-потолочный рулонный белый (моторизованный привод)</t>
        </is>
      </c>
      <c r="E2798" s="2" t="inlineStr">
        <is>
          <t>+ </t>
        </is>
      </c>
      <c r="F2798" s="2" t="inlineStr">
        <is>
          <t>+ </t>
        </is>
      </c>
      <c r="H2798" s="2">
        <v>793</v>
      </c>
      <c r="I2798" s="2" t="inlineStr">
        <is>
          <t>$</t>
        </is>
      </c>
      <c r="J2798" s="2">
        <f>HYPERLINK("https://app.astro.lead-studio.pro/product/6703e03a-5fea-484d-b11a-5bc4a986b11f")</f>
      </c>
    </row>
    <row r="2799" spans="1:10" customHeight="0">
      <c r="A2799" s="2" t="inlineStr">
        <is>
          <t>Проекционное оборудование</t>
        </is>
      </c>
      <c r="B2799" s="2" t="inlineStr">
        <is>
          <t>CACTUS</t>
        </is>
      </c>
      <c r="C2799" s="2" t="inlineStr">
        <is>
          <t>CS-PSALR-201X114</t>
        </is>
      </c>
      <c r="D2799" s="2" t="inlineStr">
        <is>
          <t>Экран на раме Cactus 114x201см Alr Expert CS-PSALR-201X114 16:9 настенный натяжной</t>
        </is>
      </c>
      <c r="E2799" s="2" t="inlineStr">
        <is>
          <t>+ </t>
        </is>
      </c>
      <c r="F2799" s="2" t="inlineStr">
        <is>
          <t>+ </t>
        </is>
      </c>
      <c r="H2799" s="2">
        <v>568</v>
      </c>
      <c r="I2799" s="2" t="inlineStr">
        <is>
          <t>$</t>
        </is>
      </c>
      <c r="J2799" s="2">
        <f>HYPERLINK("https://app.astro.lead-studio.pro/product/b3367fa1-c801-47c7-8487-52311853e4b9")</f>
      </c>
    </row>
    <row r="2800" spans="1:10" customHeight="0">
      <c r="A2800" s="2" t="inlineStr">
        <is>
          <t>Проекционное оборудование</t>
        </is>
      </c>
      <c r="B2800" s="2" t="inlineStr">
        <is>
          <t>CACTUS</t>
        </is>
      </c>
      <c r="C2800" s="2" t="inlineStr">
        <is>
          <t>CS-PSALR-223X126</t>
        </is>
      </c>
      <c r="D2800" s="2" t="inlineStr">
        <is>
          <t>Экран на раме Cactus 126x223см Alr Expert CS-PSALR-223X126 16:9 настенный натяжной</t>
        </is>
      </c>
      <c r="E2800" s="2" t="inlineStr">
        <is>
          <t>+ </t>
        </is>
      </c>
      <c r="F2800" s="2" t="inlineStr">
        <is>
          <t>+ </t>
        </is>
      </c>
      <c r="H2800" s="2">
        <v>656</v>
      </c>
      <c r="I2800" s="2" t="inlineStr">
        <is>
          <t>$</t>
        </is>
      </c>
      <c r="J2800" s="2">
        <f>HYPERLINK("https://app.astro.lead-studio.pro/product/21b2ba2d-0e2b-4188-9b8a-54e9dfa48c69")</f>
      </c>
    </row>
    <row r="2801" spans="1:10" customHeight="0">
      <c r="A2801" s="2" t="inlineStr">
        <is>
          <t>Проекционное оборудование</t>
        </is>
      </c>
      <c r="B2801" s="2" t="inlineStr">
        <is>
          <t>CACTUS</t>
        </is>
      </c>
      <c r="C2801" s="2" t="inlineStr">
        <is>
          <t>CS-PSFRE-280X158</t>
        </is>
      </c>
      <c r="D2801" s="2" t="inlineStr">
        <is>
          <t>Экран на раме Cactus 158x280см FrameExpert CS-PSFRE-280X158 16:9 настенный натяжной</t>
        </is>
      </c>
      <c r="E2801" s="2" t="inlineStr">
        <is>
          <t>+ </t>
        </is>
      </c>
      <c r="F2801" s="2" t="inlineStr">
        <is>
          <t>+ </t>
        </is>
      </c>
      <c r="H2801" s="2">
        <v>370</v>
      </c>
      <c r="I2801" s="2" t="inlineStr">
        <is>
          <t>$</t>
        </is>
      </c>
      <c r="J2801" s="2">
        <f>HYPERLINK("https://app.astro.lead-studio.pro/product/01539685-d1ab-4f04-8cba-515c1038bf99")</f>
      </c>
    </row>
    <row r="2802" spans="1:10" customHeight="0">
      <c r="A2802" s="2" t="inlineStr">
        <is>
          <t>Проекционное оборудование</t>
        </is>
      </c>
      <c r="B2802" s="2" t="inlineStr">
        <is>
          <t>CACTUS</t>
        </is>
      </c>
      <c r="C2802" s="2" t="inlineStr">
        <is>
          <t>CS-PSFRE-300X169</t>
        </is>
      </c>
      <c r="D2802" s="2" t="inlineStr">
        <is>
          <t>Экран на раме Cactus 169x300см FrameExpert CS-PSFRE-300X169 16:9 настенный натяжной</t>
        </is>
      </c>
      <c r="E2802" s="2" t="inlineStr">
        <is>
          <t>+ </t>
        </is>
      </c>
      <c r="F2802" s="2" t="inlineStr">
        <is>
          <t>+ </t>
        </is>
      </c>
      <c r="H2802" s="2">
        <v>382</v>
      </c>
      <c r="I2802" s="2" t="inlineStr">
        <is>
          <t>$</t>
        </is>
      </c>
      <c r="J2802" s="2">
        <f>HYPERLINK("https://app.astro.lead-studio.pro/product/42804003-b982-4624-a48d-dd9e671eb006")</f>
      </c>
    </row>
    <row r="2803" spans="1:10" customHeight="0">
      <c r="A2803" s="2" t="inlineStr">
        <is>
          <t>Проекционное оборудование</t>
        </is>
      </c>
      <c r="B2803" s="2" t="inlineStr">
        <is>
          <t>CACTUS</t>
        </is>
      </c>
      <c r="C2803" s="2" t="inlineStr">
        <is>
          <t>CS-PSFRE-360X203</t>
        </is>
      </c>
      <c r="D2803" s="2" t="inlineStr">
        <is>
          <t>Экран на раме Cactus 203x360см FrameExpert CS-PSFRE-360X203 16:9 настенный натяжной</t>
        </is>
      </c>
      <c r="E2803" s="2" t="inlineStr">
        <is>
          <t>+ </t>
        </is>
      </c>
      <c r="F2803" s="2" t="inlineStr">
        <is>
          <t>+ </t>
        </is>
      </c>
      <c r="H2803" s="2">
        <v>621</v>
      </c>
      <c r="I2803" s="2" t="inlineStr">
        <is>
          <t>$</t>
        </is>
      </c>
      <c r="J2803" s="2">
        <f>HYPERLINK("https://app.astro.lead-studio.pro/product/d8e18bce-8c50-4804-afb8-f1d37c80eabc")</f>
      </c>
    </row>
    <row r="2804" spans="1:10" customHeight="0">
      <c r="A2804" s="2" t="inlineStr">
        <is>
          <t>Проекционное оборудование</t>
        </is>
      </c>
      <c r="B2804" s="2" t="inlineStr">
        <is>
          <t>CACTUS</t>
        </is>
      </c>
      <c r="C2804" s="2" t="inlineStr">
        <is>
          <t>CS-PSFRE-420X236</t>
        </is>
      </c>
      <c r="D2804" s="2" t="inlineStr">
        <is>
          <t>Экран на раме Cactus 236x420см FrameExpert CS-PSFRE-420X236 16:9 настенный натяжной</t>
        </is>
      </c>
      <c r="E2804" s="2" t="inlineStr">
        <is>
          <t>+ </t>
        </is>
      </c>
      <c r="F2804" s="2" t="inlineStr">
        <is>
          <t>+ </t>
        </is>
      </c>
      <c r="H2804" s="2">
        <v>731</v>
      </c>
      <c r="I2804" s="2" t="inlineStr">
        <is>
          <t>$</t>
        </is>
      </c>
      <c r="J2804" s="2">
        <f>HYPERLINK("https://app.astro.lead-studio.pro/product/4f8331ae-98c4-4d10-a700-0b22bd6a9a42")</f>
      </c>
    </row>
    <row r="2805" spans="1:10" customHeight="0">
      <c r="A2805" s="2" t="inlineStr">
        <is>
          <t>Проекционное оборудование</t>
        </is>
      </c>
      <c r="B2805" s="2" t="inlineStr">
        <is>
          <t>LUMIEN</t>
        </is>
      </c>
      <c r="C2805" s="2" t="inlineStr">
        <is>
          <t>LMP-100136</t>
        </is>
      </c>
      <c r="D2805" s="2" t="inlineStr">
        <is>
          <t>Экран Lumien 191x300см Master Picture LMP-100136 16:10 настенно-потолочный рулонный</t>
        </is>
      </c>
      <c r="E2805" s="2" t="inlineStr">
        <is>
          <t>+ </t>
        </is>
      </c>
      <c r="F2805" s="2" t="inlineStr">
        <is>
          <t>+ </t>
        </is>
      </c>
      <c r="H2805" s="2">
        <v>338</v>
      </c>
      <c r="I2805" s="2" t="inlineStr">
        <is>
          <t>$</t>
        </is>
      </c>
      <c r="J2805" s="2">
        <f>HYPERLINK("https://app.astro.lead-studio.pro/product/13650e7a-7b15-4b0a-a7bd-52d17b8b732c")</f>
      </c>
    </row>
    <row r="2806" spans="1:10" customHeight="0">
      <c r="A2806" s="2" t="inlineStr">
        <is>
          <t>Проекционное оборудование</t>
        </is>
      </c>
      <c r="B2806" s="2" t="inlineStr">
        <is>
          <t>LUMIEN</t>
        </is>
      </c>
      <c r="C2806" s="2" t="inlineStr">
        <is>
          <t>LEC-100108</t>
        </is>
      </c>
      <c r="D2806" s="2" t="inlineStr">
        <is>
          <t>Экран Lumien 229x305см Eco Control LEC-100108 4:3 настенно-потолочный рулонный белый (моторизованный привод)</t>
        </is>
      </c>
      <c r="E2806" s="2" t="inlineStr">
        <is>
          <t>+ </t>
        </is>
      </c>
      <c r="F2806" s="2" t="inlineStr">
        <is>
          <t>+ </t>
        </is>
      </c>
      <c r="H2806" s="2">
        <v>331</v>
      </c>
      <c r="I2806" s="2" t="inlineStr">
        <is>
          <t>$</t>
        </is>
      </c>
      <c r="J2806" s="2">
        <f>HYPERLINK("https://app.astro.lead-studio.pro/product/fd4566ae-f0ec-4f68-92cd-157fb3f8b301")</f>
      </c>
    </row>
    <row r="2807" spans="1:10" customHeight="0">
      <c r="A2807" s="2" t="inlineStr">
        <is>
          <t>Проекционное оборудование</t>
        </is>
      </c>
      <c r="B2807" s="2" t="inlineStr">
        <is>
          <t>LUMIEN</t>
        </is>
      </c>
      <c r="C2807" s="2" t="inlineStr">
        <is>
          <t>LMC-100110</t>
        </is>
      </c>
      <c r="D2807" s="2" t="inlineStr">
        <is>
          <t>Экран Lumien 229x305см Master Control LMC-100110 4:3 настенно-потолочный рулонный (моторизованный привод)</t>
        </is>
      </c>
      <c r="E2807" s="2" t="inlineStr">
        <is>
          <t>+ </t>
        </is>
      </c>
      <c r="F2807" s="2" t="inlineStr">
        <is>
          <t>+ </t>
        </is>
      </c>
      <c r="H2807" s="2">
        <v>428</v>
      </c>
      <c r="I2807" s="2" t="inlineStr">
        <is>
          <t>$</t>
        </is>
      </c>
      <c r="J2807" s="2">
        <f>HYPERLINK("https://app.astro.lead-studio.pro/product/bb21ed13-0ad9-4420-870e-9b5dc270d556")</f>
      </c>
    </row>
    <row r="2808" spans="1:10" customHeight="0">
      <c r="A2808" s="2" t="inlineStr">
        <is>
          <t>Проекционное оборудование</t>
        </is>
      </c>
      <c r="B2808" s="2" t="inlineStr">
        <is>
          <t>LUMIEN</t>
        </is>
      </c>
      <c r="C2808" s="2" t="inlineStr">
        <is>
          <t>LMC-100134</t>
        </is>
      </c>
      <c r="D2808" s="2" t="inlineStr">
        <is>
          <t>Экран Lumien 254x400см Master Control LMC-100134 16:10 настенно-потолочный рулонный (моторизованный привод)</t>
        </is>
      </c>
      <c r="E2808" s="2" t="inlineStr">
        <is>
          <t>+ </t>
        </is>
      </c>
      <c r="F2808" s="2" t="inlineStr">
        <is>
          <t>+ </t>
        </is>
      </c>
      <c r="H2808" s="2">
        <v>776</v>
      </c>
      <c r="I2808" s="2" t="inlineStr">
        <is>
          <t>$</t>
        </is>
      </c>
      <c r="J2808" s="2">
        <f>HYPERLINK("https://app.astro.lead-studio.pro/product/67d89741-ecc7-47a1-8551-ada39c3e36c1")</f>
      </c>
    </row>
    <row r="2809" spans="1:10" customHeight="0">
      <c r="A2809" s="2" t="inlineStr">
        <is>
          <t>Проекционное оборудование</t>
        </is>
      </c>
      <c r="B2809" s="2" t="inlineStr">
        <is>
          <t>LUMIEN</t>
        </is>
      </c>
      <c r="C2809" s="2" t="inlineStr">
        <is>
          <t>LMC-100135</t>
        </is>
      </c>
      <c r="D2809" s="2" t="inlineStr">
        <is>
          <t>Экран на раме Lumien 201x358см Master Control LMC-100135 16:9 настенно-потолочный рулонный (моторизованный привод)</t>
        </is>
      </c>
      <c r="E2809" s="2" t="inlineStr">
        <is>
          <t>+ </t>
        </is>
      </c>
      <c r="F2809" s="2" t="inlineStr">
        <is>
          <t>+ </t>
        </is>
      </c>
      <c r="H2809" s="2">
        <v>721</v>
      </c>
      <c r="I2809" s="2" t="inlineStr">
        <is>
          <t>$</t>
        </is>
      </c>
      <c r="J2809" s="2">
        <f>HYPERLINK("https://app.astro.lead-studio.pro/product/fa35f697-a990-440d-85a4-0e8dc9c68e93")</f>
      </c>
    </row>
    <row r="2810" spans="1:10" customHeight="0">
      <c r="A2810" s="2" t="inlineStr">
        <is>
          <t>Проекционное оборудование</t>
        </is>
      </c>
      <c r="B2810" s="2" t="inlineStr">
        <is>
          <t>LUMIEN</t>
        </is>
      </c>
      <c r="C2810" s="2" t="inlineStr">
        <is>
          <t>LMC-100115</t>
        </is>
      </c>
      <c r="D2810" s="2" t="inlineStr">
        <is>
          <t>Экран на раме Lumien 202x280см Master Control LMC-100115 16:9 настенно-потолочный рулонный (моторизованный привод)</t>
        </is>
      </c>
      <c r="E2810" s="2" t="inlineStr">
        <is>
          <t>+ </t>
        </is>
      </c>
      <c r="F2810" s="2" t="inlineStr">
        <is>
          <t>+ </t>
        </is>
      </c>
      <c r="H2810" s="2">
        <v>499</v>
      </c>
      <c r="I2810" s="2" t="inlineStr">
        <is>
          <t>$</t>
        </is>
      </c>
      <c r="J2810" s="2">
        <f>HYPERLINK("https://app.astro.lead-studio.pro/product/8b060380-a60a-467e-944f-1638a44340f9")</f>
      </c>
    </row>
    <row r="2811" spans="1:10" customHeight="0">
      <c r="A2811" s="2" t="inlineStr">
        <is>
          <t>Проекционное оборудование</t>
        </is>
      </c>
      <c r="B2811" s="2" t="inlineStr">
        <is>
          <t>XGIMI</t>
        </is>
      </c>
      <c r="C2811" s="2" t="inlineStr">
        <is>
          <t>P165S</t>
        </is>
      </c>
      <c r="D2811" s="2" t="inlineStr">
        <is>
          <t>Экран на раме Xgimi 127.6x224.5см 100" UST ALR Screen 16:9 настенный рулонный</t>
        </is>
      </c>
      <c r="E2811" s="2" t="inlineStr">
        <is>
          <t>+ </t>
        </is>
      </c>
      <c r="F2811" s="2" t="inlineStr">
        <is>
          <t>+ </t>
        </is>
      </c>
      <c r="H2811" s="2">
        <v>1435</v>
      </c>
      <c r="I2811" s="2" t="inlineStr">
        <is>
          <t>$</t>
        </is>
      </c>
      <c r="J2811" s="2">
        <f>HYPERLINK("https://app.astro.lead-studio.pro/product/12b5fb6f-2613-424a-8aca-b4a78c795ee7")</f>
      </c>
    </row>
    <row r="2812" spans="1:10" customHeight="0">
      <c r="A2812" s="2" t="inlineStr">
        <is>
          <t>Батареи для ИБП</t>
        </is>
      </c>
      <c r="B2812" s="2" t="inlineStr">
        <is>
          <t>APC</t>
        </is>
      </c>
      <c r="C2812" s="2" t="inlineStr">
        <is>
          <t>APCRBC132</t>
        </is>
      </c>
      <c r="D2812" s="2" t="inlineStr">
        <is>
          <t>Батарея для ИБП APC APCRBC132</t>
        </is>
      </c>
      <c r="E2812" s="2" t="inlineStr">
        <is>
          <t>+ </t>
        </is>
      </c>
      <c r="F2812" s="2" t="inlineStr">
        <is>
          <t>+ </t>
        </is>
      </c>
      <c r="H2812" s="2">
        <v>685</v>
      </c>
      <c r="I2812" s="2" t="inlineStr">
        <is>
          <t>$</t>
        </is>
      </c>
      <c r="J2812" s="2">
        <f>HYPERLINK("https://app.astro.lead-studio.pro/product/9a9e5584-d694-4edb-87ce-6cf7a4d0f192")</f>
      </c>
    </row>
    <row r="2813" spans="1:10" customHeight="0">
      <c r="A2813" s="2" t="inlineStr">
        <is>
          <t>Батареи для ИБП</t>
        </is>
      </c>
      <c r="B2813" s="2" t="inlineStr">
        <is>
          <t>APC</t>
        </is>
      </c>
      <c r="C2813" s="2" t="inlineStr">
        <is>
          <t>APCRBC133</t>
        </is>
      </c>
      <c r="D2813" s="2" t="inlineStr">
        <is>
          <t>Батарея для ИБП APC APCRBC133 для SMT1500RM2U/SMT1500RM2UTW/SMT1500RMI2U/SMT1500RMUS</t>
        </is>
      </c>
      <c r="E2813" s="2" t="inlineStr">
        <is>
          <t>+ </t>
        </is>
      </c>
      <c r="F2813" s="2" t="inlineStr">
        <is>
          <t>+ </t>
        </is>
      </c>
      <c r="H2813" s="2">
        <v>521</v>
      </c>
      <c r="I2813" s="2" t="inlineStr">
        <is>
          <t>$</t>
        </is>
      </c>
      <c r="J2813" s="2">
        <f>HYPERLINK("https://app.astro.lead-studio.pro/product/94eab351-5480-4278-b8e9-bf99938a2824")</f>
      </c>
    </row>
    <row r="2814" spans="1:10" customHeight="0">
      <c r="A2814" s="2" t="inlineStr">
        <is>
          <t>Батареи для ИБП</t>
        </is>
      </c>
      <c r="B2814" s="2" t="inlineStr">
        <is>
          <t>APC</t>
        </is>
      </c>
      <c r="C2814" s="2" t="inlineStr">
        <is>
          <t>RBC34</t>
        </is>
      </c>
      <c r="D2814" s="2" t="inlineStr">
        <is>
          <t>Батарея для ИБП APC RBC34 6В 9Ач для SUA750RM1U/SUA1000RMI1U</t>
        </is>
      </c>
      <c r="E2814" s="2" t="inlineStr">
        <is>
          <t>+ </t>
        </is>
      </c>
      <c r="F2814" s="2" t="inlineStr">
        <is>
          <t>+ </t>
        </is>
      </c>
      <c r="H2814" s="2">
        <v>448</v>
      </c>
      <c r="I2814" s="2" t="inlineStr">
        <is>
          <t>$</t>
        </is>
      </c>
      <c r="J2814" s="2">
        <f>HYPERLINK("https://app.astro.lead-studio.pro/product/6f2e82f3-b630-4442-992b-48d5a48c68aa")</f>
      </c>
    </row>
    <row r="2815" spans="1:10" customHeight="0">
      <c r="A2815" s="2" t="inlineStr">
        <is>
          <t>Батареи для ИБП</t>
        </is>
      </c>
      <c r="B2815" s="2" t="inlineStr">
        <is>
          <t>APC</t>
        </is>
      </c>
      <c r="C2815" s="2" t="inlineStr">
        <is>
          <t>SMX48RMBP2U</t>
        </is>
      </c>
      <c r="D2815" s="2" t="inlineStr">
        <is>
          <t>Батарея для ИБП APC SMX48RMBP2U 48В для SMX1000/SMX1000I/SMX1500RM2U/SMX1500RM2UNC/SMX1500RMI2U/SMX1500RMI2UNC/SMX750/SMX750I</t>
        </is>
      </c>
      <c r="E2815" s="2" t="inlineStr">
        <is>
          <t>+ </t>
        </is>
      </c>
      <c r="F2815" s="2" t="inlineStr">
        <is>
          <t>+ </t>
        </is>
      </c>
      <c r="H2815" s="2">
        <v>1369</v>
      </c>
      <c r="I2815" s="2" t="inlineStr">
        <is>
          <t>$</t>
        </is>
      </c>
      <c r="J2815" s="2">
        <f>HYPERLINK("https://app.astro.lead-studio.pro/product/4ff56892-4da4-496d-9b08-f648c3b8bc06")</f>
      </c>
    </row>
    <row r="2816" spans="1:10" customHeight="0">
      <c r="A2816" s="2" t="inlineStr">
        <is>
          <t>Батареи для ИБП</t>
        </is>
      </c>
      <c r="B2816" s="2" t="inlineStr">
        <is>
          <t>APC</t>
        </is>
      </c>
      <c r="C2816" s="2" t="inlineStr">
        <is>
          <t>SRT192RMBP</t>
        </is>
      </c>
      <c r="D2816" s="2" t="inlineStr">
        <is>
          <t>Батарея для ИБП APC SRT192RMBP 1920Ач для SRT5KRMXLI/SRT5KXLI/SRT6KRMXLI/SRT6KXLI</t>
        </is>
      </c>
      <c r="E2816" s="2" t="inlineStr">
        <is>
          <t>+ </t>
        </is>
      </c>
      <c r="F2816" s="2" t="inlineStr">
        <is>
          <t>+ </t>
        </is>
      </c>
      <c r="H2816" s="2">
        <v>2650</v>
      </c>
      <c r="I2816" s="2" t="inlineStr">
        <is>
          <t>$</t>
        </is>
      </c>
      <c r="J2816" s="2">
        <f>HYPERLINK("https://app.astro.lead-studio.pro/product/59b0451f-72d9-46a3-9190-e09d4a75fd07")</f>
      </c>
    </row>
    <row r="2817" spans="1:10" customHeight="0">
      <c r="A2817" s="2" t="inlineStr">
        <is>
          <t>Батареи для ИБП</t>
        </is>
      </c>
      <c r="B2817" s="2" t="inlineStr">
        <is>
          <t>APC</t>
        </is>
      </c>
      <c r="C2817" s="2" t="inlineStr">
        <is>
          <t>SRT48RMBP</t>
        </is>
      </c>
      <c r="D2817" s="2" t="inlineStr">
        <is>
          <t>Батарея для ИБП APC SRT48RMBP 48В для Smart-UPS SRT 48 В, 1кВА, 1,5кВА, стоечный</t>
        </is>
      </c>
      <c r="E2817" s="2" t="inlineStr">
        <is>
          <t>+ </t>
        </is>
      </c>
      <c r="F2817" s="2" t="inlineStr">
        <is>
          <t>+ </t>
        </is>
      </c>
      <c r="H2817" s="2">
        <v>1546</v>
      </c>
      <c r="I2817" s="2" t="inlineStr">
        <is>
          <t>$</t>
        </is>
      </c>
      <c r="J2817" s="2">
        <f>HYPERLINK("https://app.astro.lead-studio.pro/product/aca9f649-8020-4aec-98c7-3a722fff135c")</f>
      </c>
    </row>
    <row r="2818" spans="1:10" customHeight="0">
      <c r="A2818" s="2" t="inlineStr">
        <is>
          <t>Батареи для ИБП</t>
        </is>
      </c>
      <c r="B2818" s="2" t="inlineStr">
        <is>
          <t>APC</t>
        </is>
      </c>
      <c r="C2818" s="2" t="inlineStr">
        <is>
          <t>SRT72RMBP</t>
        </is>
      </c>
      <c r="D2818" s="2" t="inlineStr">
        <is>
          <t>Батарея для ИБП APC SRT72RMBP 72В 734Ач для Smart-UPS SRT</t>
        </is>
      </c>
      <c r="E2818" s="2" t="inlineStr">
        <is>
          <t>+ </t>
        </is>
      </c>
      <c r="F2818" s="2" t="inlineStr">
        <is>
          <t>+ </t>
        </is>
      </c>
      <c r="H2818" s="2">
        <v>1504</v>
      </c>
      <c r="I2818" s="2" t="inlineStr">
        <is>
          <t>$</t>
        </is>
      </c>
      <c r="J2818" s="2">
        <f>HYPERLINK("https://app.astro.lead-studio.pro/product/95906b28-45c9-4978-b648-7d48aadb41f3")</f>
      </c>
    </row>
    <row r="2819" spans="1:10" customHeight="0">
      <c r="A2819" s="2" t="inlineStr">
        <is>
          <t>Батареи для ИБП</t>
        </is>
      </c>
      <c r="B2819" s="2" t="inlineStr">
        <is>
          <t>APC</t>
        </is>
      </c>
      <c r="C2819" s="2" t="inlineStr">
        <is>
          <t>SRT96RMBP</t>
        </is>
      </c>
      <c r="D2819" s="2" t="inlineStr">
        <is>
          <t>Батарея для ИБП APC SRT96RMBP 96В 1010Ач для Smart-UPS SRT</t>
        </is>
      </c>
      <c r="E2819" s="2" t="inlineStr">
        <is>
          <t>+ </t>
        </is>
      </c>
      <c r="F2819" s="2" t="inlineStr">
        <is>
          <t>+ </t>
        </is>
      </c>
      <c r="H2819" s="2">
        <v>2059</v>
      </c>
      <c r="I2819" s="2" t="inlineStr">
        <is>
          <t>$</t>
        </is>
      </c>
      <c r="J2819" s="2">
        <f>HYPERLINK("https://app.astro.lead-studio.pro/product/26145796-c026-408a-bba7-0b0d59bcc5ac")</f>
      </c>
    </row>
    <row r="2820" spans="1:10" customHeight="0">
      <c r="A2820" s="2" t="inlineStr">
        <is>
          <t>Батареи для ИБП</t>
        </is>
      </c>
      <c r="B2820" s="2" t="inlineStr">
        <is>
          <t>DELTA</t>
        </is>
      </c>
      <c r="C2820" s="2" t="inlineStr">
        <is>
          <t>DTM 12120 L</t>
        </is>
      </c>
      <c r="D2820" s="2" t="inlineStr">
        <is>
          <t>Батарея для ИБП Delta DTM 12120 L 12В 120Ач</t>
        </is>
      </c>
      <c r="E2820" s="2" t="inlineStr">
        <is>
          <t>+ </t>
        </is>
      </c>
      <c r="F2820" s="2" t="inlineStr">
        <is>
          <t>+ </t>
        </is>
      </c>
      <c r="H2820" s="2">
        <v>338</v>
      </c>
      <c r="I2820" s="2" t="inlineStr">
        <is>
          <t>$</t>
        </is>
      </c>
      <c r="J2820" s="2">
        <f>HYPERLINK("https://app.astro.lead-studio.pro/product/18b8f001-633a-4a11-a4d7-690271e080f1")</f>
      </c>
    </row>
    <row r="2821" spans="1:10" customHeight="0">
      <c r="A2821" s="2" t="inlineStr">
        <is>
          <t>Батареи для ИБП</t>
        </is>
      </c>
      <c r="B2821" s="2" t="inlineStr">
        <is>
          <t>DELTA</t>
        </is>
      </c>
      <c r="C2821" s="2" t="inlineStr">
        <is>
          <t>GEL 12-200</t>
        </is>
      </c>
      <c r="D2821" s="2" t="inlineStr">
        <is>
          <t>Батарея для ИБП Delta GEL 12-200 12В 200Ач</t>
        </is>
      </c>
      <c r="E2821" s="2" t="inlineStr">
        <is>
          <t>+ </t>
        </is>
      </c>
      <c r="F2821" s="2" t="inlineStr">
        <is>
          <t>+ </t>
        </is>
      </c>
      <c r="H2821" s="2">
        <v>529</v>
      </c>
      <c r="I2821" s="2" t="inlineStr">
        <is>
          <t>$</t>
        </is>
      </c>
      <c r="J2821" s="2">
        <f>HYPERLINK("https://app.astro.lead-studio.pro/product/e6e25152-7b6f-4126-bd37-4e137a7147d6")</f>
      </c>
    </row>
    <row r="2822" spans="1:10" customHeight="0">
      <c r="A2822" s="2" t="inlineStr">
        <is>
          <t>Батареи для ИБП</t>
        </is>
      </c>
      <c r="B2822" s="2" t="inlineStr">
        <is>
          <t>IPPON</t>
        </is>
      </c>
      <c r="C2822" s="2" t="inlineStr">
        <is>
          <t>1398368</t>
        </is>
      </c>
      <c r="D2822" s="2" t="inlineStr">
        <is>
          <t>Батарея для ИБП Ippon EBM Innova RT II 2000/3000 72В 7Ач для Innova RT II 2000 / Innova RT II 3000</t>
        </is>
      </c>
      <c r="E2822" s="2" t="inlineStr">
        <is>
          <t>+++ </t>
        </is>
      </c>
      <c r="F2822" s="2" t="inlineStr">
        <is>
          <t>+++ </t>
        </is>
      </c>
      <c r="H2822" s="2">
        <v>630</v>
      </c>
      <c r="I2822" s="2" t="inlineStr">
        <is>
          <t>$</t>
        </is>
      </c>
      <c r="J2822" s="2">
        <f>HYPERLINK("https://app.astro.lead-studio.pro/product/0633a72c-536f-43db-9c5f-bfa8f2e921a8")</f>
      </c>
    </row>
    <row r="2823" spans="1:10" customHeight="0">
      <c r="A2823" s="2" t="inlineStr">
        <is>
          <t>Батареи для ИБП</t>
        </is>
      </c>
      <c r="B2823" s="2" t="inlineStr">
        <is>
          <t>IPPON</t>
        </is>
      </c>
      <c r="C2823" s="2" t="inlineStr">
        <is>
          <t>1146364</t>
        </is>
      </c>
      <c r="D2823" s="2" t="inlineStr">
        <is>
          <t>Батарея для ИБП Ippon Innova RT 33 20K Tower 480В 18Ач</t>
        </is>
      </c>
      <c r="E2823" s="2" t="inlineStr">
        <is>
          <t>+ </t>
        </is>
      </c>
      <c r="F2823" s="2" t="inlineStr">
        <is>
          <t>+ </t>
        </is>
      </c>
      <c r="H2823" s="2">
        <v>4794</v>
      </c>
      <c r="I2823" s="2" t="inlineStr">
        <is>
          <t>$</t>
        </is>
      </c>
      <c r="J2823" s="2">
        <f>HYPERLINK("https://app.astro.lead-studio.pro/product/97b143ff-cf13-4cab-81df-eea1e221dce2")</f>
      </c>
    </row>
    <row r="2824" spans="1:10" customHeight="0">
      <c r="A2824" s="2" t="inlineStr">
        <is>
          <t>Батареи для ИБП</t>
        </is>
      </c>
      <c r="B2824" s="2" t="inlineStr">
        <is>
          <t>IPPON</t>
        </is>
      </c>
      <c r="C2824" s="2" t="inlineStr">
        <is>
          <t>1146365</t>
        </is>
      </c>
      <c r="D2824" s="2" t="inlineStr">
        <is>
          <t>Батарея для ИБП Ippon Innova RT 33 40K Tower 480В 18Ач</t>
        </is>
      </c>
      <c r="E2824" s="2" t="inlineStr">
        <is>
          <t>+ </t>
        </is>
      </c>
      <c r="F2824" s="2" t="inlineStr">
        <is>
          <t>+ </t>
        </is>
      </c>
      <c r="H2824" s="2">
        <v>4761</v>
      </c>
      <c r="I2824" s="2" t="inlineStr">
        <is>
          <t>$</t>
        </is>
      </c>
      <c r="J2824" s="2">
        <f>HYPERLINK("https://app.astro.lead-studio.pro/product/c1b86f38-ba6f-4324-8cec-3a9857020d14")</f>
      </c>
    </row>
    <row r="2825" spans="1:10" customHeight="0">
      <c r="A2825" s="2" t="inlineStr">
        <is>
          <t>Батареи для ИБП</t>
        </is>
      </c>
      <c r="B2825" s="2" t="inlineStr">
        <is>
          <t>IPPON</t>
        </is>
      </c>
      <c r="C2825" s="2" t="inlineStr">
        <is>
          <t>1146366</t>
        </is>
      </c>
      <c r="D2825" s="2" t="inlineStr">
        <is>
          <t>Батарея для ИБП Ippon Innova RT 33 60/80K Tower 480В 40Ач для Innova RT 33 Tower 60/80K</t>
        </is>
      </c>
      <c r="E2825" s="2" t="inlineStr">
        <is>
          <t>+ </t>
        </is>
      </c>
      <c r="F2825" s="2" t="inlineStr">
        <is>
          <t>+ </t>
        </is>
      </c>
      <c r="H2825" s="2">
        <v>13676</v>
      </c>
      <c r="I2825" s="2" t="inlineStr">
        <is>
          <t>$</t>
        </is>
      </c>
      <c r="J2825" s="2">
        <f>HYPERLINK("https://app.astro.lead-studio.pro/product/ad998b5f-e577-4bb3-b183-5913c539155e")</f>
      </c>
    </row>
    <row r="2826" spans="1:10" customHeight="0">
      <c r="A2826" s="2" t="inlineStr">
        <is>
          <t>Батареи для ИБП</t>
        </is>
      </c>
      <c r="B2826" s="2" t="inlineStr">
        <is>
          <t>IPPON</t>
        </is>
      </c>
      <c r="C2826" s="2" t="inlineStr">
        <is>
          <t>626116</t>
        </is>
      </c>
      <c r="D2826" s="2" t="inlineStr">
        <is>
          <t>Батарея для ИБП Ippon Innova RT 3K 2U 192В 7Ач для Innova RT 3K</t>
        </is>
      </c>
      <c r="E2826" s="2" t="inlineStr">
        <is>
          <t>+++ </t>
        </is>
      </c>
      <c r="F2826" s="2" t="inlineStr">
        <is>
          <t>+++ </t>
        </is>
      </c>
      <c r="H2826" s="2">
        <v>462</v>
      </c>
      <c r="I2826" s="2" t="inlineStr">
        <is>
          <t>$</t>
        </is>
      </c>
      <c r="J2826" s="2">
        <f>HYPERLINK("https://app.astro.lead-studio.pro/product/d4578628-1fde-4e6d-8d93-63558e7d950b")</f>
      </c>
    </row>
    <row r="2827" spans="1:10" customHeight="0">
      <c r="A2827" s="2" t="inlineStr">
        <is>
          <t>Батареи для ИБП</t>
        </is>
      </c>
      <c r="B2827" s="2" t="inlineStr">
        <is>
          <t>IPPON</t>
        </is>
      </c>
      <c r="C2827" s="2" t="inlineStr">
        <is>
          <t>1000217</t>
        </is>
      </c>
      <c r="D2827" s="2" t="inlineStr">
        <is>
          <t>Батарея для ИБП Ippon Innova RT Tower 288В 18Ач для Ippon Innova RT Tower 3/1 10/20KVA</t>
        </is>
      </c>
      <c r="E2827" s="2" t="inlineStr">
        <is>
          <t>+ </t>
        </is>
      </c>
      <c r="F2827" s="2" t="inlineStr">
        <is>
          <t>+ </t>
        </is>
      </c>
      <c r="H2827" s="2">
        <v>1924</v>
      </c>
      <c r="I2827" s="2" t="inlineStr">
        <is>
          <t>$</t>
        </is>
      </c>
      <c r="J2827" s="2">
        <f>HYPERLINK("https://app.astro.lead-studio.pro/product/0bba48d3-4442-4f18-a3b4-2e0c4955673f")</f>
      </c>
    </row>
    <row r="2828" spans="1:10" customHeight="0">
      <c r="A2828" s="2" t="inlineStr">
        <is>
          <t>Батареи для ИБП</t>
        </is>
      </c>
      <c r="B2828" s="2" t="inlineStr">
        <is>
          <t>IPPON</t>
        </is>
      </c>
      <c r="C2828" s="2" t="inlineStr">
        <is>
          <t>1445988</t>
        </is>
      </c>
      <c r="D2828" s="2" t="inlineStr">
        <is>
          <t>Батарея для ИБП Ippon Innova Unity RT 3-3 10K EBM240 9AH 120В 9Ач для 1445970</t>
        </is>
      </c>
      <c r="E2828" s="2" t="inlineStr">
        <is>
          <t>+ </t>
        </is>
      </c>
      <c r="F2828" s="2" t="inlineStr">
        <is>
          <t>+ </t>
        </is>
      </c>
      <c r="H2828" s="2">
        <v>1501</v>
      </c>
      <c r="I2828" s="2" t="inlineStr">
        <is>
          <t>$</t>
        </is>
      </c>
      <c r="J2828" s="2">
        <f>HYPERLINK("https://app.astro.lead-studio.pro/product/cc343855-422a-4aed-8e31-1f6fcb8d22cc")</f>
      </c>
    </row>
    <row r="2829" spans="1:10" customHeight="0">
      <c r="A2829" s="2" t="inlineStr">
        <is>
          <t>Батареи для ИБП</t>
        </is>
      </c>
      <c r="B2829" s="2" t="inlineStr">
        <is>
          <t>IPPON</t>
        </is>
      </c>
      <c r="C2829" s="2" t="inlineStr">
        <is>
          <t>1445989</t>
        </is>
      </c>
      <c r="D2829" s="2" t="inlineStr">
        <is>
          <t>Батарея для ИБП Ippon Innova Unity RT 3-3 20K EBM480 9AH 240В 9Ач для Ippon Innova Unity RT 3-3 20K</t>
        </is>
      </c>
      <c r="E2829" s="2" t="inlineStr">
        <is>
          <t>+ </t>
        </is>
      </c>
      <c r="F2829" s="2" t="inlineStr">
        <is>
          <t>+ </t>
        </is>
      </c>
      <c r="H2829" s="2">
        <v>3230</v>
      </c>
      <c r="I2829" s="2" t="inlineStr">
        <is>
          <t>$</t>
        </is>
      </c>
      <c r="J2829" s="2">
        <f>HYPERLINK("https://app.astro.lead-studio.pro/product/ab560c7e-5175-4b78-94a3-62f7b9fb3cc6")</f>
      </c>
    </row>
    <row r="2830" spans="1:10" customHeight="0">
      <c r="A2830" s="2" t="inlineStr">
        <is>
          <t>Батареи для ИБП</t>
        </is>
      </c>
      <c r="B2830" s="2" t="inlineStr">
        <is>
          <t>IPPON</t>
        </is>
      </c>
      <c r="C2830" s="2" t="inlineStr">
        <is>
          <t>1361425</t>
        </is>
      </c>
      <c r="D2830" s="2" t="inlineStr">
        <is>
          <t>Батарея для ИБП Ippon IP12-100 12В 100Ач</t>
        </is>
      </c>
      <c r="E2830" s="2" t="inlineStr">
        <is>
          <t>+++ </t>
        </is>
      </c>
      <c r="F2830" s="2" t="inlineStr">
        <is>
          <t>+++ </t>
        </is>
      </c>
      <c r="H2830" s="2">
        <v>384</v>
      </c>
      <c r="I2830" s="2" t="inlineStr">
        <is>
          <t>$</t>
        </is>
      </c>
      <c r="J2830" s="2">
        <f>HYPERLINK("https://app.astro.lead-studio.pro/product/fada6815-a3ea-44d2-8327-2181ad0145cb")</f>
      </c>
    </row>
    <row r="2831" spans="1:10" customHeight="0">
      <c r="A2831" s="2" t="inlineStr">
        <is>
          <t>Батареи для ИБП</t>
        </is>
      </c>
      <c r="B2831" s="2" t="inlineStr">
        <is>
          <t>IPPON</t>
        </is>
      </c>
      <c r="C2831" s="2" t="inlineStr">
        <is>
          <t>1192973</t>
        </is>
      </c>
      <c r="D2831" s="2" t="inlineStr">
        <is>
          <t>Батарея для ИБП Ippon Smart Winner II 2000/3000 BP 72В 14Ач</t>
        </is>
      </c>
      <c r="E2831" s="2" t="inlineStr">
        <is>
          <t>+ </t>
        </is>
      </c>
      <c r="F2831" s="2" t="inlineStr">
        <is>
          <t>+ </t>
        </is>
      </c>
      <c r="H2831" s="2">
        <v>550</v>
      </c>
      <c r="I2831" s="2" t="inlineStr">
        <is>
          <t>$</t>
        </is>
      </c>
      <c r="J2831" s="2">
        <f>HYPERLINK("https://app.astro.lead-studio.pro/product/6aa0b069-845e-48ca-a71a-d67ee9ce46c6")</f>
      </c>
    </row>
    <row r="2832" spans="1:10" customHeight="0">
      <c r="A2832" s="2" t="inlineStr">
        <is>
          <t>Батареи для ИБП</t>
        </is>
      </c>
      <c r="B2832" s="2" t="inlineStr">
        <is>
          <t>IPPON</t>
        </is>
      </c>
      <c r="C2832" s="2" t="inlineStr">
        <is>
          <t>1192976</t>
        </is>
      </c>
      <c r="D2832" s="2" t="inlineStr">
        <is>
          <t>Батарея для ИБП Ippon Smart Winner II 2000E BP 48В 14Ач для Smart Winner II 2000E</t>
        </is>
      </c>
      <c r="E2832" s="2" t="inlineStr">
        <is>
          <t>+ </t>
        </is>
      </c>
      <c r="F2832" s="2" t="inlineStr">
        <is>
          <t>+ </t>
        </is>
      </c>
      <c r="H2832" s="2">
        <v>501</v>
      </c>
      <c r="I2832" s="2" t="inlineStr">
        <is>
          <t>$</t>
        </is>
      </c>
      <c r="J2832" s="2">
        <f>HYPERLINK("https://app.astro.lead-studio.pro/product/0a68477f-ecfd-4a72-9a15-0bfb60c61fdc")</f>
      </c>
    </row>
    <row r="2833" spans="1:10" customHeight="0">
      <c r="A2833" s="2" t="inlineStr">
        <is>
          <t>Батареи для ИБП</t>
        </is>
      </c>
      <c r="B2833" s="2" t="inlineStr">
        <is>
          <t>POWERCOM</t>
        </is>
      </c>
      <c r="C2833" s="2" t="inlineStr">
        <is>
          <t>BAT SRT 48V</t>
        </is>
      </c>
      <c r="D2833" s="2" t="inlineStr">
        <is>
          <t>Батарея для ИБП Powercom BAT SRT-48V 48В для SRT-1500A/2000A</t>
        </is>
      </c>
      <c r="E2833" s="2" t="inlineStr">
        <is>
          <t>+ </t>
        </is>
      </c>
      <c r="F2833" s="2" t="inlineStr">
        <is>
          <t>+ </t>
        </is>
      </c>
      <c r="H2833" s="2">
        <v>438</v>
      </c>
      <c r="I2833" s="2" t="inlineStr">
        <is>
          <t>$</t>
        </is>
      </c>
      <c r="J2833" s="2">
        <f>HYPERLINK("https://app.astro.lead-studio.pro/product/656688db-cf80-466a-bbf6-825ab7bca906")</f>
      </c>
    </row>
    <row r="2834" spans="1:10" customHeight="0">
      <c r="A2834" s="2" t="inlineStr">
        <is>
          <t>Батареи для ИБП</t>
        </is>
      </c>
      <c r="B2834" s="2" t="inlineStr">
        <is>
          <t>ШТИЛЬ</t>
        </is>
      </c>
      <c r="C2834" s="2" t="inlineStr">
        <is>
          <t>BMR-192-12</t>
        </is>
      </c>
      <c r="D2834" s="2" t="inlineStr">
        <is>
          <t>Батарея для ИБП Штиль BMR-192-12 12В 12Ач для однофазные ИБП SR1106L, SR1110L, SR3110L</t>
        </is>
      </c>
      <c r="E2834" s="2" t="inlineStr">
        <is>
          <t>+ </t>
        </is>
      </c>
      <c r="F2834" s="2" t="inlineStr">
        <is>
          <t>+ </t>
        </is>
      </c>
      <c r="H2834" s="2">
        <v>1077</v>
      </c>
      <c r="I2834" s="2" t="inlineStr">
        <is>
          <t>$</t>
        </is>
      </c>
      <c r="J2834" s="2">
        <f>HYPERLINK("https://app.astro.lead-studio.pro/product/d284fe5e-fdad-4452-a50c-220f37d6665b")</f>
      </c>
    </row>
    <row r="2835" spans="1:10" customHeight="0">
      <c r="A2835" s="2" t="inlineStr">
        <is>
          <t>Батареи для ИБП</t>
        </is>
      </c>
      <c r="B2835" s="2" t="inlineStr">
        <is>
          <t>ШТИЛЬ</t>
        </is>
      </c>
      <c r="C2835" s="2" t="inlineStr">
        <is>
          <t>BMRT-72-18</t>
        </is>
      </c>
      <c r="D2835" s="2" t="inlineStr">
        <is>
          <t>Батарея для ИБП Штиль BMRT-72-18</t>
        </is>
      </c>
      <c r="E2835" s="2" t="inlineStr">
        <is>
          <t>+ </t>
        </is>
      </c>
      <c r="F2835" s="2" t="inlineStr">
        <is>
          <t>+ </t>
        </is>
      </c>
      <c r="H2835" s="2">
        <v>539</v>
      </c>
      <c r="I2835" s="2" t="inlineStr">
        <is>
          <t>$</t>
        </is>
      </c>
      <c r="J2835" s="2">
        <f>HYPERLINK("https://app.astro.lead-studio.pro/product/beda7da0-2ef8-4204-b7f1-5fbac591a0ec")</f>
      </c>
    </row>
    <row r="2836" spans="1:10" customHeight="0">
      <c r="A2836" s="2" t="inlineStr">
        <is>
          <t>Доп.модули и монтаж для ИБП</t>
        </is>
      </c>
      <c r="B2836" s="2" t="inlineStr">
        <is>
          <t>APC</t>
        </is>
      </c>
      <c r="C2836" s="2" t="inlineStr">
        <is>
          <t>AP9640</t>
        </is>
      </c>
      <c r="D2836" s="2" t="inlineStr">
        <is>
          <t>Плата управления APC AP9640</t>
        </is>
      </c>
      <c r="E2836" s="2" t="inlineStr">
        <is>
          <t>+ </t>
        </is>
      </c>
      <c r="F2836" s="2" t="inlineStr">
        <is>
          <t>+ </t>
        </is>
      </c>
      <c r="H2836" s="2">
        <v>467</v>
      </c>
      <c r="I2836" s="2" t="inlineStr">
        <is>
          <t>$</t>
        </is>
      </c>
      <c r="J2836" s="2">
        <f>HYPERLINK("https://app.astro.lead-studio.pro/product/b8b3c5a9-acb1-4d5a-a404-b3871b09516a")</f>
      </c>
    </row>
    <row r="2837" spans="1:10" customHeight="0">
      <c r="A2837" s="2" t="inlineStr">
        <is>
          <t>Доп.модули и монтаж для ИБП</t>
        </is>
      </c>
      <c r="B2837" s="2" t="inlineStr">
        <is>
          <t>APC</t>
        </is>
      </c>
      <c r="C2837" s="2" t="inlineStr">
        <is>
          <t>AP9641</t>
        </is>
      </c>
      <c r="D2837" s="2" t="inlineStr">
        <is>
          <t>Плата управления APC AP9641</t>
        </is>
      </c>
      <c r="E2837" s="2" t="inlineStr">
        <is>
          <t>+ </t>
        </is>
      </c>
      <c r="F2837" s="2" t="inlineStr">
        <is>
          <t>+ </t>
        </is>
      </c>
      <c r="H2837" s="2">
        <v>610</v>
      </c>
      <c r="I2837" s="2" t="inlineStr">
        <is>
          <t>$</t>
        </is>
      </c>
      <c r="J2837" s="2">
        <f>HYPERLINK("https://app.astro.lead-studio.pro/product/d54aa218-b404-44c6-a9bd-f7c7db6a774e")</f>
      </c>
    </row>
    <row r="2838" spans="1:10" customHeight="0">
      <c r="A2838" s="2" t="inlineStr">
        <is>
          <t>Доп.модули и монтаж для ИБП</t>
        </is>
      </c>
      <c r="B2838" s="2" t="inlineStr">
        <is>
          <t>IPPON</t>
        </is>
      </c>
      <c r="C2838" s="2" t="inlineStr">
        <is>
          <t>1445990</t>
        </is>
      </c>
      <c r="D2838" s="2" t="inlineStr">
        <is>
          <t>Байпас Ippon Innova Unity RT 3-3 MBP (1445990) IEC 10A</t>
        </is>
      </c>
      <c r="E2838" s="2" t="inlineStr">
        <is>
          <t>+ </t>
        </is>
      </c>
      <c r="F2838" s="2" t="inlineStr">
        <is>
          <t>+ </t>
        </is>
      </c>
      <c r="H2838" s="2">
        <v>2457</v>
      </c>
      <c r="I2838" s="2" t="inlineStr">
        <is>
          <t>$</t>
        </is>
      </c>
      <c r="J2838" s="2">
        <f>HYPERLINK("https://app.astro.lead-studio.pro/product/ef372c4c-aaf5-4f65-af50-370bfb8c637c")</f>
      </c>
    </row>
    <row r="2839" spans="1:10" customHeight="0">
      <c r="A2839" s="2" t="inlineStr">
        <is>
          <t>Доп.модули и монтаж для ИБП</t>
        </is>
      </c>
      <c r="B2839" s="2" t="inlineStr">
        <is>
          <t>TRIPPLITE</t>
        </is>
      </c>
      <c r="C2839" s="2" t="inlineStr">
        <is>
          <t>PDU3XEVSR6G32A</t>
        </is>
      </c>
      <c r="D2839" s="2" t="inlineStr">
        <is>
          <t>Распределитель питания Tripplite PDU3XEVSR6G32A</t>
        </is>
      </c>
      <c r="E2839" s="2" t="inlineStr">
        <is>
          <t>+ </t>
        </is>
      </c>
      <c r="F2839" s="2" t="inlineStr">
        <is>
          <t>+ </t>
        </is>
      </c>
      <c r="H2839" s="2">
        <v>767</v>
      </c>
      <c r="I2839" s="2" t="inlineStr">
        <is>
          <t>$</t>
        </is>
      </c>
      <c r="J2839" s="2">
        <f>HYPERLINK("https://app.astro.lead-studio.pro/product/4d92c854-8500-43d1-bc7e-054a438b779e")</f>
      </c>
    </row>
    <row r="2840" spans="1:10" customHeight="0">
      <c r="A2840" s="2" t="inlineStr">
        <is>
          <t>Источник бесперебойного питания</t>
        </is>
      </c>
      <c r="B2840" s="2" t="inlineStr">
        <is>
          <t>APC</t>
        </is>
      </c>
      <c r="C2840" s="2" t="inlineStr">
        <is>
          <t>BE850G2-GR</t>
        </is>
      </c>
      <c r="D2840" s="2" t="inlineStr">
        <is>
          <t>Источник бесперебойного питания APC Back-UPS BE850G2-GR 520Вт 850ВА черный</t>
        </is>
      </c>
      <c r="E2840" s="2" t="inlineStr">
        <is>
          <t>+ </t>
        </is>
      </c>
      <c r="F2840" s="2" t="inlineStr">
        <is>
          <t>+ </t>
        </is>
      </c>
      <c r="H2840" s="2">
        <v>349</v>
      </c>
      <c r="I2840" s="2" t="inlineStr">
        <is>
          <t>$</t>
        </is>
      </c>
      <c r="J2840" s="2">
        <f>HYPERLINK("https://app.astro.lead-studio.pro/product/0a9ee79b-3d3b-476a-b53f-e9b25569f424")</f>
      </c>
    </row>
    <row r="2841" spans="1:10" customHeight="0">
      <c r="A2841" s="2" t="inlineStr">
        <is>
          <t>Источник бесперебойного питания</t>
        </is>
      </c>
      <c r="B2841" s="2" t="inlineStr">
        <is>
          <t>APC</t>
        </is>
      </c>
      <c r="C2841" s="2" t="inlineStr">
        <is>
          <t>BX2200MI</t>
        </is>
      </c>
      <c r="D2841" s="2" t="inlineStr">
        <is>
          <t>Источник бесперебойного питания APC Back-UPS BX2200MI 1200Вт 2200ВА черный</t>
        </is>
      </c>
      <c r="E2841" s="2" t="inlineStr">
        <is>
          <t>+ </t>
        </is>
      </c>
      <c r="F2841" s="2" t="inlineStr">
        <is>
          <t>+ </t>
        </is>
      </c>
      <c r="H2841" s="2">
        <v>507</v>
      </c>
      <c r="I2841" s="2" t="inlineStr">
        <is>
          <t>$</t>
        </is>
      </c>
      <c r="J2841" s="2">
        <f>HYPERLINK("https://app.astro.lead-studio.pro/product/d1cab992-1637-4b17-8257-d2fff4fc1084")</f>
      </c>
    </row>
    <row r="2842" spans="1:10" customHeight="0">
      <c r="A2842" s="2" t="inlineStr">
        <is>
          <t>Источник бесперебойного питания</t>
        </is>
      </c>
      <c r="B2842" s="2" t="inlineStr">
        <is>
          <t>APC</t>
        </is>
      </c>
      <c r="C2842" s="2" t="inlineStr">
        <is>
          <t>SRV10KI</t>
        </is>
      </c>
      <c r="D2842" s="2" t="inlineStr">
        <is>
          <t>Источник бесперебойного питания APC Easy-UPS SRV10KI 10000Вт 10000ВА черный</t>
        </is>
      </c>
      <c r="E2842" s="2" t="inlineStr">
        <is>
          <t>+ </t>
        </is>
      </c>
      <c r="F2842" s="2" t="inlineStr">
        <is>
          <t>+ </t>
        </is>
      </c>
      <c r="H2842" s="2">
        <v>4365</v>
      </c>
      <c r="I2842" s="2" t="inlineStr">
        <is>
          <t>$</t>
        </is>
      </c>
      <c r="J2842" s="2">
        <f>HYPERLINK("https://app.astro.lead-studio.pro/product/8c9ba704-ac65-48b7-a09b-ba8e6622ab3a")</f>
      </c>
    </row>
    <row r="2843" spans="1:10" customHeight="0">
      <c r="A2843" s="2" t="inlineStr">
        <is>
          <t>Источник бесперебойного питания</t>
        </is>
      </c>
      <c r="B2843" s="2" t="inlineStr">
        <is>
          <t>APC</t>
        </is>
      </c>
      <c r="C2843" s="2" t="inlineStr">
        <is>
          <t>SMC1000I-2UC</t>
        </is>
      </c>
      <c r="D2843" s="2" t="inlineStr">
        <is>
          <t>Источник бесперебойного питания APC Smart-UPS C SMC1000I-2UC 600Вт 1000ВА черный</t>
        </is>
      </c>
      <c r="E2843" s="2" t="inlineStr">
        <is>
          <t>+ </t>
        </is>
      </c>
      <c r="F2843" s="2" t="inlineStr">
        <is>
          <t>+ </t>
        </is>
      </c>
      <c r="H2843" s="2">
        <v>982</v>
      </c>
      <c r="I2843" s="2" t="inlineStr">
        <is>
          <t>$</t>
        </is>
      </c>
      <c r="J2843" s="2">
        <f>HYPERLINK("https://app.astro.lead-studio.pro/product/8b8145b4-8ebf-4bdd-9c60-75023bdba3e2")</f>
      </c>
    </row>
    <row r="2844" spans="1:10" customHeight="0">
      <c r="A2844" s="2" t="inlineStr">
        <is>
          <t>Источник бесперебойного питания</t>
        </is>
      </c>
      <c r="B2844" s="2" t="inlineStr">
        <is>
          <t>APC</t>
        </is>
      </c>
      <c r="C2844" s="2" t="inlineStr">
        <is>
          <t>SMC1500I-2UC</t>
        </is>
      </c>
      <c r="D2844" s="2" t="inlineStr">
        <is>
          <t>Источник бесперебойного питания APC Smart-UPS C SMC1500I-2UC 900Вт 1500ВА черный</t>
        </is>
      </c>
      <c r="E2844" s="2" t="inlineStr">
        <is>
          <t>+ </t>
        </is>
      </c>
      <c r="F2844" s="2" t="inlineStr">
        <is>
          <t>+ </t>
        </is>
      </c>
      <c r="H2844" s="2">
        <v>1563</v>
      </c>
      <c r="I2844" s="2" t="inlineStr">
        <is>
          <t>$</t>
        </is>
      </c>
      <c r="J2844" s="2">
        <f>HYPERLINK("https://app.astro.lead-studio.pro/product/341a676b-ce46-46af-8d7c-359fa15e3cdb")</f>
      </c>
    </row>
    <row r="2845" spans="1:10" customHeight="0">
      <c r="A2845" s="2" t="inlineStr">
        <is>
          <t>Источник бесперебойного питания</t>
        </is>
      </c>
      <c r="B2845" s="2" t="inlineStr">
        <is>
          <t>APC</t>
        </is>
      </c>
      <c r="C2845" s="2" t="inlineStr">
        <is>
          <t>SMC3000I</t>
        </is>
      </c>
      <c r="D2845" s="2" t="inlineStr">
        <is>
          <t>Источник бесперебойного питания APC Smart-UPS C SMC3000I 2100Вт 3000ВА черный</t>
        </is>
      </c>
      <c r="E2845" s="2" t="inlineStr">
        <is>
          <t>+ </t>
        </is>
      </c>
      <c r="F2845" s="2" t="inlineStr">
        <is>
          <t>+ </t>
        </is>
      </c>
      <c r="H2845" s="2">
        <v>2559</v>
      </c>
      <c r="I2845" s="2" t="inlineStr">
        <is>
          <t>$</t>
        </is>
      </c>
      <c r="J2845" s="2">
        <f>HYPERLINK("https://app.astro.lead-studio.pro/product/45f2fac3-e4cf-4ad5-9ad1-4493150ec83a")</f>
      </c>
    </row>
    <row r="2846" spans="1:10" customHeight="0">
      <c r="A2846" s="2" t="inlineStr">
        <is>
          <t>Источник бесперебойного питания</t>
        </is>
      </c>
      <c r="B2846" s="2" t="inlineStr">
        <is>
          <t>APC</t>
        </is>
      </c>
      <c r="C2846" s="2" t="inlineStr">
        <is>
          <t>SMT1000RMI2UC</t>
        </is>
      </c>
      <c r="D2846" s="2" t="inlineStr">
        <is>
          <t>Источник бесперебойного питания APC Smart-UPS SMT1000RMI2UC 700Вт 1000ВА черный</t>
        </is>
      </c>
      <c r="E2846" s="2" t="inlineStr">
        <is>
          <t>+ </t>
        </is>
      </c>
      <c r="F2846" s="2" t="inlineStr">
        <is>
          <t>+ </t>
        </is>
      </c>
      <c r="H2846" s="2">
        <v>1854</v>
      </c>
      <c r="I2846" s="2" t="inlineStr">
        <is>
          <t>$</t>
        </is>
      </c>
      <c r="J2846" s="2">
        <f>HYPERLINK("https://app.astro.lead-studio.pro/product/8e802232-6f7f-40c7-82f0-0e0a8953a055")</f>
      </c>
    </row>
    <row r="2847" spans="1:10" customHeight="0">
      <c r="A2847" s="2" t="inlineStr">
        <is>
          <t>Источник бесперебойного питания</t>
        </is>
      </c>
      <c r="B2847" s="2" t="inlineStr">
        <is>
          <t>APC</t>
        </is>
      </c>
      <c r="C2847" s="2" t="inlineStr">
        <is>
          <t>SMT1500IC</t>
        </is>
      </c>
      <c r="D2847" s="2" t="inlineStr">
        <is>
          <t>Источник бесперебойного питания APC Smart-UPS SMT1500IC 1000Вт 1500ВА черный</t>
        </is>
      </c>
      <c r="E2847" s="2" t="inlineStr">
        <is>
          <t>+ </t>
        </is>
      </c>
      <c r="F2847" s="2" t="inlineStr">
        <is>
          <t>+ </t>
        </is>
      </c>
      <c r="H2847" s="2">
        <v>1350</v>
      </c>
      <c r="I2847" s="2" t="inlineStr">
        <is>
          <t>$</t>
        </is>
      </c>
      <c r="J2847" s="2">
        <f>HYPERLINK("https://app.astro.lead-studio.pro/product/139008aa-c9b6-433f-a1c5-efb01d3cf179")</f>
      </c>
    </row>
    <row r="2848" spans="1:10" customHeight="0">
      <c r="A2848" s="2" t="inlineStr">
        <is>
          <t>Источник бесперебойного питания</t>
        </is>
      </c>
      <c r="B2848" s="2" t="inlineStr">
        <is>
          <t>APC</t>
        </is>
      </c>
      <c r="C2848" s="2" t="inlineStr">
        <is>
          <t>SMT1500RMI2UC</t>
        </is>
      </c>
      <c r="D2848" s="2" t="inlineStr">
        <is>
          <t>Источник бесперебойного питания APC Smart-UPS SMT1500RMI2UC 1000Вт 1500ВА черный</t>
        </is>
      </c>
      <c r="E2848" s="2" t="inlineStr">
        <is>
          <t>+ </t>
        </is>
      </c>
      <c r="F2848" s="2" t="inlineStr">
        <is>
          <t>+ </t>
        </is>
      </c>
      <c r="H2848" s="2">
        <v>2105</v>
      </c>
      <c r="I2848" s="2" t="inlineStr">
        <is>
          <t>$</t>
        </is>
      </c>
      <c r="J2848" s="2">
        <f>HYPERLINK("https://app.astro.lead-studio.pro/product/dbe73835-0d16-4832-8a1e-9974fd8acc59")</f>
      </c>
    </row>
    <row r="2849" spans="1:10" customHeight="0">
      <c r="A2849" s="2" t="inlineStr">
        <is>
          <t>Источник бесперебойного питания</t>
        </is>
      </c>
      <c r="B2849" s="2" t="inlineStr">
        <is>
          <t>APC</t>
        </is>
      </c>
      <c r="C2849" s="2" t="inlineStr">
        <is>
          <t>SMT2200IC</t>
        </is>
      </c>
      <c r="D2849" s="2" t="inlineStr">
        <is>
          <t>Источник бесперебойного питания APC Smart-UPS SMT2200IC 1980Вт 2200ВА черный</t>
        </is>
      </c>
      <c r="E2849" s="2" t="inlineStr">
        <is>
          <t>+ </t>
        </is>
      </c>
      <c r="F2849" s="2" t="inlineStr">
        <is>
          <t>+ </t>
        </is>
      </c>
      <c r="H2849" s="2">
        <v>2512</v>
      </c>
      <c r="I2849" s="2" t="inlineStr">
        <is>
          <t>$</t>
        </is>
      </c>
      <c r="J2849" s="2">
        <f>HYPERLINK("https://app.astro.lead-studio.pro/product/e331ad4f-de87-49fe-86f3-f452e08c7bc3")</f>
      </c>
    </row>
    <row r="2850" spans="1:10" customHeight="0">
      <c r="A2850" s="2" t="inlineStr">
        <is>
          <t>Источник бесперебойного питания</t>
        </is>
      </c>
      <c r="B2850" s="2" t="inlineStr">
        <is>
          <t>APC</t>
        </is>
      </c>
      <c r="C2850" s="2" t="inlineStr">
        <is>
          <t>SMT3000RMI2UC</t>
        </is>
      </c>
      <c r="D2850" s="2" t="inlineStr">
        <is>
          <t>Источник бесперебойного питания APC Smart-UPS SMT3000RMI2UC 2700Вт 3000ВА черный</t>
        </is>
      </c>
      <c r="E2850" s="2" t="inlineStr">
        <is>
          <t>+ </t>
        </is>
      </c>
      <c r="F2850" s="2" t="inlineStr">
        <is>
          <t>+ </t>
        </is>
      </c>
      <c r="H2850" s="2">
        <v>3537</v>
      </c>
      <c r="I2850" s="2" t="inlineStr">
        <is>
          <t>$</t>
        </is>
      </c>
      <c r="J2850" s="2">
        <f>HYPERLINK("https://app.astro.lead-studio.pro/product/6a2a7350-9bf1-416a-9cde-e1f8cc2151e5")</f>
      </c>
    </row>
    <row r="2851" spans="1:10" customHeight="0">
      <c r="A2851" s="2" t="inlineStr">
        <is>
          <t>Источник бесперебойного питания</t>
        </is>
      </c>
      <c r="B2851" s="2" t="inlineStr">
        <is>
          <t>APC</t>
        </is>
      </c>
      <c r="C2851" s="2" t="inlineStr">
        <is>
          <t>SMT750IC</t>
        </is>
      </c>
      <c r="D2851" s="2" t="inlineStr">
        <is>
          <t>Источник бесперебойного питания APC Smart-UPS SMT750IC 500Вт 750ВА черный</t>
        </is>
      </c>
      <c r="E2851" s="2" t="inlineStr">
        <is>
          <t>+ </t>
        </is>
      </c>
      <c r="F2851" s="2" t="inlineStr">
        <is>
          <t>+ </t>
        </is>
      </c>
      <c r="H2851" s="2">
        <v>914</v>
      </c>
      <c r="I2851" s="2" t="inlineStr">
        <is>
          <t>$</t>
        </is>
      </c>
      <c r="J2851" s="2">
        <f>HYPERLINK("https://app.astro.lead-studio.pro/product/35f3908c-c09a-4ab9-add0-e6397bb09ea8")</f>
      </c>
    </row>
    <row r="2852" spans="1:10" customHeight="0">
      <c r="A2852" s="2" t="inlineStr">
        <is>
          <t>Источник бесперебойного питания</t>
        </is>
      </c>
      <c r="B2852" s="2" t="inlineStr">
        <is>
          <t>APC</t>
        </is>
      </c>
      <c r="C2852" s="2" t="inlineStr">
        <is>
          <t>SRT2200RMXLI</t>
        </is>
      </c>
      <c r="D2852" s="2" t="inlineStr">
        <is>
          <t>Источник бесперебойного питания APC Smart-UPS SRT SRT2200RMXLI 1980Вт 2200ВА черный</t>
        </is>
      </c>
      <c r="E2852" s="2" t="inlineStr">
        <is>
          <t>+ </t>
        </is>
      </c>
      <c r="F2852" s="2" t="inlineStr">
        <is>
          <t>+ </t>
        </is>
      </c>
      <c r="H2852" s="2">
        <v>3013</v>
      </c>
      <c r="I2852" s="2" t="inlineStr">
        <is>
          <t>$</t>
        </is>
      </c>
      <c r="J2852" s="2">
        <f>HYPERLINK("https://app.astro.lead-studio.pro/product/07024d1e-c9cb-4694-99e3-771352795f39")</f>
      </c>
    </row>
    <row r="2853" spans="1:10" customHeight="0">
      <c r="A2853" s="2" t="inlineStr">
        <is>
          <t>Источник бесперебойного питания</t>
        </is>
      </c>
      <c r="B2853" s="2" t="inlineStr">
        <is>
          <t>APC</t>
        </is>
      </c>
      <c r="C2853" s="2" t="inlineStr">
        <is>
          <t>SRT3000RMXLI</t>
        </is>
      </c>
      <c r="D2853" s="2" t="inlineStr">
        <is>
          <t>Источник бесперебойного питания APC Smart-UPS SRT SRT3000RMXLI 2700Вт 3000ВА черный</t>
        </is>
      </c>
      <c r="E2853" s="2" t="inlineStr">
        <is>
          <t>+ </t>
        </is>
      </c>
      <c r="F2853" s="2" t="inlineStr">
        <is>
          <t>+ </t>
        </is>
      </c>
      <c r="H2853" s="2">
        <v>5336</v>
      </c>
      <c r="I2853" s="2" t="inlineStr">
        <is>
          <t>$</t>
        </is>
      </c>
      <c r="J2853" s="2">
        <f>HYPERLINK("https://app.astro.lead-studio.pro/product/5c633523-0011-4703-b18a-cbe990441d5d")</f>
      </c>
    </row>
    <row r="2854" spans="1:10" customHeight="0">
      <c r="A2854" s="2" t="inlineStr">
        <is>
          <t>Источник бесперебойного питания</t>
        </is>
      </c>
      <c r="B2854" s="2" t="inlineStr">
        <is>
          <t>APC</t>
        </is>
      </c>
      <c r="C2854" s="2" t="inlineStr">
        <is>
          <t>SRT2200RMXLI</t>
        </is>
      </c>
      <c r="D2854" s="2" t="inlineStr">
        <is>
          <t>Источник бесперебойного питания APC Smart-UPS SRT2200RMXLI 1980Вт 2200ВА черный</t>
        </is>
      </c>
      <c r="E2854" s="2" t="inlineStr">
        <is>
          <t>+ </t>
        </is>
      </c>
      <c r="F2854" s="2" t="inlineStr">
        <is>
          <t>+ </t>
        </is>
      </c>
      <c r="H2854" s="2">
        <v>2984</v>
      </c>
      <c r="I2854" s="2" t="inlineStr">
        <is>
          <t>$</t>
        </is>
      </c>
      <c r="J2854" s="2">
        <f>HYPERLINK("https://app.astro.lead-studio.pro/product/07024d1e-c9cb-4694-99e3-771352795f39")</f>
      </c>
    </row>
    <row r="2855" spans="1:10" customHeight="0">
      <c r="A2855" s="2" t="inlineStr">
        <is>
          <t>Источник бесперебойного питания</t>
        </is>
      </c>
      <c r="B2855" s="2" t="inlineStr">
        <is>
          <t>IPPON</t>
        </is>
      </c>
      <c r="C2855" s="2" t="inlineStr">
        <is>
          <t>427357</t>
        </is>
      </c>
      <c r="D2855" s="2" t="inlineStr">
        <is>
          <t>Источник бесперебойного питания Ippon Innova G2 1kVA 900Вт 1000ВА черный</t>
        </is>
      </c>
      <c r="E2855" s="2" t="inlineStr">
        <is>
          <t>++ </t>
        </is>
      </c>
      <c r="F2855" s="2" t="inlineStr">
        <is>
          <t>++ </t>
        </is>
      </c>
      <c r="H2855" s="2">
        <v>347</v>
      </c>
      <c r="I2855" s="2" t="inlineStr">
        <is>
          <t>$</t>
        </is>
      </c>
      <c r="J2855" s="2">
        <f>HYPERLINK("https://app.astro.lead-studio.pro/product/17b9ff0d-3c4c-4579-ba71-89d0de55e0c4")</f>
      </c>
    </row>
    <row r="2856" spans="1:10" customHeight="0">
      <c r="A2856" s="2" t="inlineStr">
        <is>
          <t>Источник бесперебойного питания</t>
        </is>
      </c>
      <c r="B2856" s="2" t="inlineStr">
        <is>
          <t>IPPON</t>
        </is>
      </c>
      <c r="C2856" s="2" t="inlineStr">
        <is>
          <t>1511522</t>
        </is>
      </c>
      <c r="D2856" s="2" t="inlineStr">
        <is>
          <t>Источник бесперебойного питания Ippon Innova G2 2000L 1800Вт 2000ВА черный</t>
        </is>
      </c>
      <c r="E2856" s="2" t="inlineStr">
        <is>
          <t>+ </t>
        </is>
      </c>
      <c r="F2856" s="2" t="inlineStr">
        <is>
          <t>+ </t>
        </is>
      </c>
      <c r="H2856" s="2">
        <v>455</v>
      </c>
      <c r="I2856" s="2" t="inlineStr">
        <is>
          <t>$</t>
        </is>
      </c>
      <c r="J2856" s="2">
        <f>HYPERLINK("https://app.astro.lead-studio.pro/product/82e5e86d-94c0-438c-8aec-70ab5fd2a431")</f>
      </c>
    </row>
    <row r="2857" spans="1:10" customHeight="0">
      <c r="A2857" s="2" t="inlineStr">
        <is>
          <t>Источник бесперебойного питания</t>
        </is>
      </c>
      <c r="B2857" s="2" t="inlineStr">
        <is>
          <t>IPPON</t>
        </is>
      </c>
      <c r="C2857" s="2" t="inlineStr">
        <is>
          <t>427358</t>
        </is>
      </c>
      <c r="D2857" s="2" t="inlineStr">
        <is>
          <t>Источник бесперебойного питания Ippon Innova G2 2kVA 1800Вт 2000ВА черный</t>
        </is>
      </c>
      <c r="E2857" s="2" t="inlineStr">
        <is>
          <t>+++ </t>
        </is>
      </c>
      <c r="F2857" s="2" t="inlineStr">
        <is>
          <t>+++ </t>
        </is>
      </c>
      <c r="H2857" s="2">
        <v>523</v>
      </c>
      <c r="I2857" s="2" t="inlineStr">
        <is>
          <t>$</t>
        </is>
      </c>
      <c r="J2857" s="2">
        <f>HYPERLINK("https://app.astro.lead-studio.pro/product/177a041e-5609-41b9-be43-7e1991c26835")</f>
      </c>
    </row>
    <row r="2858" spans="1:10" customHeight="0">
      <c r="A2858" s="2" t="inlineStr">
        <is>
          <t>Источник бесперебойного питания</t>
        </is>
      </c>
      <c r="B2858" s="2" t="inlineStr">
        <is>
          <t>IPPON</t>
        </is>
      </c>
      <c r="C2858" s="2" t="inlineStr">
        <is>
          <t>427360</t>
        </is>
      </c>
      <c r="D2858" s="2" t="inlineStr">
        <is>
          <t>Источник бесперебойного питания Ippon Innova G2 3kVA 2700Вт 3000ВА черный</t>
        </is>
      </c>
      <c r="E2858" s="2" t="inlineStr">
        <is>
          <t>+++ </t>
        </is>
      </c>
      <c r="F2858" s="2" t="inlineStr">
        <is>
          <t>+++ </t>
        </is>
      </c>
      <c r="H2858" s="2">
        <v>688</v>
      </c>
      <c r="I2858" s="2" t="inlineStr">
        <is>
          <t>$</t>
        </is>
      </c>
      <c r="J2858" s="2">
        <f>HYPERLINK("https://app.astro.lead-studio.pro/product/357bde49-e97d-4e35-a508-b2dbafe780e6")</f>
      </c>
    </row>
    <row r="2859" spans="1:10" customHeight="0">
      <c r="A2859" s="2" t="inlineStr">
        <is>
          <t>Источник бесперебойного питания</t>
        </is>
      </c>
      <c r="B2859" s="2" t="inlineStr">
        <is>
          <t>IPPON</t>
        </is>
      </c>
      <c r="C2859" s="2" t="inlineStr">
        <is>
          <t>1547590</t>
        </is>
      </c>
      <c r="D2859" s="2" t="inlineStr">
        <is>
          <t>Источник бесперебойного питания Ippon Innova G2 Euro 1000L 900Вт 1000ВА черный</t>
        </is>
      </c>
      <c r="E2859" s="2" t="inlineStr">
        <is>
          <t>+++ </t>
        </is>
      </c>
      <c r="F2859" s="2" t="inlineStr">
        <is>
          <t>+++ </t>
        </is>
      </c>
      <c r="H2859" s="2">
        <v>404</v>
      </c>
      <c r="I2859" s="2" t="inlineStr">
        <is>
          <t>$</t>
        </is>
      </c>
      <c r="J2859" s="2">
        <f>HYPERLINK("https://app.astro.lead-studio.pro/product/c821f69c-7a06-4ddc-9fec-57dfa7ab8f66")</f>
      </c>
    </row>
    <row r="2860" spans="1:10" customHeight="0">
      <c r="A2860" s="2" t="inlineStr">
        <is>
          <t>Источник бесперебойного питания</t>
        </is>
      </c>
      <c r="B2860" s="2" t="inlineStr">
        <is>
          <t>IPPON</t>
        </is>
      </c>
      <c r="C2860" s="2" t="inlineStr">
        <is>
          <t>G2 2000 EURO</t>
        </is>
      </c>
      <c r="D2860" s="2" t="inlineStr">
        <is>
          <t>Источник бесперебойного питания Ippon Innova G2 Euro 2000 1800Вт 2000ВА черный</t>
        </is>
      </c>
      <c r="E2860" s="2" t="inlineStr">
        <is>
          <t>+ </t>
        </is>
      </c>
      <c r="F2860" s="2" t="inlineStr">
        <is>
          <t>+ </t>
        </is>
      </c>
      <c r="H2860" s="2">
        <v>539</v>
      </c>
      <c r="I2860" s="2" t="inlineStr">
        <is>
          <t>$</t>
        </is>
      </c>
      <c r="J2860" s="2">
        <f>HYPERLINK("https://app.astro.lead-studio.pro/product/a9193c00-9313-4dfd-af79-09bf52d6abdf")</f>
      </c>
    </row>
    <row r="2861" spans="1:10" customHeight="0">
      <c r="A2861" s="2" t="inlineStr">
        <is>
          <t>Источник бесперебойного питания</t>
        </is>
      </c>
      <c r="B2861" s="2" t="inlineStr">
        <is>
          <t>IPPON</t>
        </is>
      </c>
      <c r="C2861" s="2" t="inlineStr">
        <is>
          <t>387546</t>
        </is>
      </c>
      <c r="D2861" s="2" t="inlineStr">
        <is>
          <t>Источник бесперебойного питания Ippon Innova RT 10K Tower 3/1 9000Вт 10000ВА черный</t>
        </is>
      </c>
      <c r="E2861" s="2" t="inlineStr">
        <is>
          <t>+ </t>
        </is>
      </c>
      <c r="F2861" s="2" t="inlineStr">
        <is>
          <t>+ </t>
        </is>
      </c>
      <c r="H2861" s="2">
        <v>3511</v>
      </c>
      <c r="I2861" s="2" t="inlineStr">
        <is>
          <t>$</t>
        </is>
      </c>
      <c r="J2861" s="2">
        <f>HYPERLINK("https://app.astro.lead-studio.pro/product/12eb7008-0fd3-45b7-bd46-7f13fee9b9e6")</f>
      </c>
    </row>
    <row r="2862" spans="1:10" customHeight="0">
      <c r="A2862" s="2" t="inlineStr">
        <is>
          <t>Источник бесперебойного питания</t>
        </is>
      </c>
      <c r="B2862" s="2" t="inlineStr">
        <is>
          <t>IPPON</t>
        </is>
      </c>
      <c r="C2862" s="2" t="inlineStr">
        <is>
          <t>621778</t>
        </is>
      </c>
      <c r="D2862" s="2" t="inlineStr">
        <is>
          <t>Источник бесперебойного питания Ippon Innova RT 1500 1350Вт 1500ВА черный</t>
        </is>
      </c>
      <c r="E2862" s="2" t="inlineStr">
        <is>
          <t>+++ </t>
        </is>
      </c>
      <c r="F2862" s="2" t="inlineStr">
        <is>
          <t>+++ </t>
        </is>
      </c>
      <c r="H2862" s="2">
        <v>496</v>
      </c>
      <c r="I2862" s="2" t="inlineStr">
        <is>
          <t>$</t>
        </is>
      </c>
      <c r="J2862" s="2">
        <f>HYPERLINK("https://app.astro.lead-studio.pro/product/88879c7b-65d9-44ac-9dfa-f6da1fc81c1e")</f>
      </c>
    </row>
    <row r="2863" spans="1:10" customHeight="0">
      <c r="A2863" s="2" t="inlineStr">
        <is>
          <t>Источник бесперебойного питания</t>
        </is>
      </c>
      <c r="B2863" s="2" t="inlineStr">
        <is>
          <t>IPPON</t>
        </is>
      </c>
      <c r="C2863" s="2" t="inlineStr">
        <is>
          <t>2074076</t>
        </is>
      </c>
      <c r="D2863" s="2" t="inlineStr">
        <is>
          <t>Источник бесперебойного питания Ippon Innova RT 20K Tower 3/1 c механическими повреждениями 18000Вт 20000ВА черный</t>
        </is>
      </c>
      <c r="E2863" s="2" t="inlineStr">
        <is>
          <t>+ </t>
        </is>
      </c>
      <c r="F2863" s="2" t="inlineStr">
        <is>
          <t>+ </t>
        </is>
      </c>
      <c r="H2863" s="2">
        <v>8678</v>
      </c>
      <c r="I2863" s="2" t="inlineStr">
        <is>
          <t>$</t>
        </is>
      </c>
      <c r="J2863" s="2">
        <f>HYPERLINK("https://app.astro.lead-studio.pro/product/68fce8fb-9f65-4b74-964e-652328038604")</f>
      </c>
    </row>
    <row r="2864" spans="1:10" customHeight="0">
      <c r="A2864" s="2" t="inlineStr">
        <is>
          <t>Источник бесперебойного питания</t>
        </is>
      </c>
      <c r="B2864" s="2" t="inlineStr">
        <is>
          <t>IPPON</t>
        </is>
      </c>
      <c r="C2864" s="2" t="inlineStr">
        <is>
          <t>1146357</t>
        </is>
      </c>
      <c r="D2864" s="2" t="inlineStr">
        <is>
          <t>Источник бесперебойного питания Ippon Innova RT 33 20K Tower 20000Вт 20000ВА черный</t>
        </is>
      </c>
      <c r="E2864" s="2" t="inlineStr">
        <is>
          <t>+ </t>
        </is>
      </c>
      <c r="F2864" s="2" t="inlineStr">
        <is>
          <t>+ </t>
        </is>
      </c>
      <c r="H2864" s="2">
        <v>7103</v>
      </c>
      <c r="I2864" s="2" t="inlineStr">
        <is>
          <t>$</t>
        </is>
      </c>
      <c r="J2864" s="2">
        <f>HYPERLINK("https://app.astro.lead-studio.pro/product/00f73141-d984-4fa8-8a56-211e4e6ce614")</f>
      </c>
    </row>
    <row r="2865" spans="1:10" customHeight="0">
      <c r="A2865" s="2" t="inlineStr">
        <is>
          <t>Источник бесперебойного питания</t>
        </is>
      </c>
      <c r="B2865" s="2" t="inlineStr">
        <is>
          <t>IPPON</t>
        </is>
      </c>
      <c r="C2865" s="2" t="inlineStr">
        <is>
          <t>1146360</t>
        </is>
      </c>
      <c r="D2865" s="2" t="inlineStr">
        <is>
          <t>Источник бесперебойного питания Ippon Innova RT 33 40K Tower 40000Вт 40000ВА черный</t>
        </is>
      </c>
      <c r="E2865" s="2" t="inlineStr">
        <is>
          <t>+ </t>
        </is>
      </c>
      <c r="F2865" s="2" t="inlineStr">
        <is>
          <t>+ </t>
        </is>
      </c>
      <c r="H2865" s="2">
        <v>10638</v>
      </c>
      <c r="I2865" s="2" t="inlineStr">
        <is>
          <t>$</t>
        </is>
      </c>
      <c r="J2865" s="2">
        <f>HYPERLINK("https://app.astro.lead-studio.pro/product/e67ba871-b15c-4b57-8d53-7ad56ae51aa4")</f>
      </c>
    </row>
    <row r="2866" spans="1:10" customHeight="0">
      <c r="A2866" s="2" t="inlineStr">
        <is>
          <t>Источник бесперебойного питания</t>
        </is>
      </c>
      <c r="B2866" s="2" t="inlineStr">
        <is>
          <t>IPPON</t>
        </is>
      </c>
      <c r="C2866" s="2" t="inlineStr">
        <is>
          <t>1166304</t>
        </is>
      </c>
      <c r="D2866" s="2" t="inlineStr">
        <is>
          <t>Источник бесперебойного питания Ippon Innova RT 33 60K Tower 60000Вт 60000ВА черный</t>
        </is>
      </c>
      <c r="E2866" s="2" t="inlineStr">
        <is>
          <t>+ </t>
        </is>
      </c>
      <c r="F2866" s="2" t="inlineStr">
        <is>
          <t>+ </t>
        </is>
      </c>
      <c r="H2866" s="2">
        <v>13021</v>
      </c>
      <c r="I2866" s="2" t="inlineStr">
        <is>
          <t>$</t>
        </is>
      </c>
      <c r="J2866" s="2">
        <f>HYPERLINK("https://app.astro.lead-studio.pro/product/aca9fff8-7c7d-4d88-8c62-7bbd15a20576")</f>
      </c>
    </row>
    <row r="2867" spans="1:10" customHeight="0">
      <c r="A2867" s="2" t="inlineStr">
        <is>
          <t>Источник бесперебойного питания</t>
        </is>
      </c>
      <c r="B2867" s="2" t="inlineStr">
        <is>
          <t>IPPON</t>
        </is>
      </c>
      <c r="C2867" s="2" t="inlineStr">
        <is>
          <t>1146362</t>
        </is>
      </c>
      <c r="D2867" s="2" t="inlineStr">
        <is>
          <t>Источник бесперебойного питания Ippon Innova RT 33 80K Tower 80000Вт 80000ВА черный</t>
        </is>
      </c>
      <c r="E2867" s="2" t="inlineStr">
        <is>
          <t>+ </t>
        </is>
      </c>
      <c r="F2867" s="2" t="inlineStr">
        <is>
          <t>+ </t>
        </is>
      </c>
      <c r="H2867" s="2">
        <v>14901</v>
      </c>
      <c r="I2867" s="2" t="inlineStr">
        <is>
          <t>$</t>
        </is>
      </c>
      <c r="J2867" s="2">
        <f>HYPERLINK("https://app.astro.lead-studio.pro/product/6b753ca4-70f2-4775-ae80-1afc37a252be")</f>
      </c>
    </row>
    <row r="2868" spans="1:10" customHeight="0">
      <c r="A2868" s="2" t="inlineStr">
        <is>
          <t>Источник бесперебойного питания</t>
        </is>
      </c>
      <c r="B2868" s="2" t="inlineStr">
        <is>
          <t>IPPON</t>
        </is>
      </c>
      <c r="C2868" s="2" t="inlineStr">
        <is>
          <t>1398359</t>
        </is>
      </c>
      <c r="D2868" s="2" t="inlineStr">
        <is>
          <t>Источник бесперебойного питания Ippon Innova RT II 1000 1000Вт 1000ВА черный</t>
        </is>
      </c>
      <c r="E2868" s="2" t="inlineStr">
        <is>
          <t>++ </t>
        </is>
      </c>
      <c r="F2868" s="2" t="inlineStr">
        <is>
          <t>++ </t>
        </is>
      </c>
      <c r="H2868" s="2">
        <v>497</v>
      </c>
      <c r="I2868" s="2" t="inlineStr">
        <is>
          <t>$</t>
        </is>
      </c>
      <c r="J2868" s="2">
        <f>HYPERLINK("https://app.astro.lead-studio.pro/product/f3acef68-f96e-4718-9ccc-3be840c75a62")</f>
      </c>
    </row>
    <row r="2869" spans="1:10" customHeight="0">
      <c r="A2869" s="2" t="inlineStr">
        <is>
          <t>Источник бесперебойного питания</t>
        </is>
      </c>
      <c r="B2869" s="2" t="inlineStr">
        <is>
          <t>IPPON</t>
        </is>
      </c>
      <c r="C2869" s="2" t="inlineStr">
        <is>
          <t>1398362</t>
        </is>
      </c>
      <c r="D2869" s="2" t="inlineStr">
        <is>
          <t>Источник бесперебойного питания Ippon Innova RT II 2000 2000Вт 2000ВА черный</t>
        </is>
      </c>
      <c r="E2869" s="2" t="inlineStr">
        <is>
          <t>+ </t>
        </is>
      </c>
      <c r="F2869" s="2" t="inlineStr">
        <is>
          <t>+ </t>
        </is>
      </c>
      <c r="H2869" s="2">
        <v>905</v>
      </c>
      <c r="I2869" s="2" t="inlineStr">
        <is>
          <t>$</t>
        </is>
      </c>
      <c r="J2869" s="2">
        <f>HYPERLINK("https://app.astro.lead-studio.pro/product/e7035b88-c4c3-4844-b444-8fff4e0da781")</f>
      </c>
    </row>
    <row r="2870" spans="1:10" customHeight="0">
      <c r="A2870" s="2" t="inlineStr">
        <is>
          <t>Источник бесперебойного питания</t>
        </is>
      </c>
      <c r="B2870" s="2" t="inlineStr">
        <is>
          <t>IPPON</t>
        </is>
      </c>
      <c r="C2870" s="2" t="inlineStr">
        <is>
          <t>1541088</t>
        </is>
      </c>
      <c r="D2870" s="2" t="inlineStr">
        <is>
          <t>Источник бесперебойного питания Ippon Innova RT II 33 Power module 70000Вт 70000ВА черный</t>
        </is>
      </c>
      <c r="E2870" s="2" t="inlineStr">
        <is>
          <t>+ </t>
        </is>
      </c>
      <c r="F2870" s="2" t="inlineStr">
        <is>
          <t>+ </t>
        </is>
      </c>
      <c r="H2870" s="2">
        <v>6102</v>
      </c>
      <c r="I2870" s="2" t="inlineStr">
        <is>
          <t>$</t>
        </is>
      </c>
      <c r="J2870" s="2">
        <f>HYPERLINK("https://app.astro.lead-studio.pro/product/205b55d6-1bac-46db-aa95-d4f2bf49fd0b")</f>
      </c>
    </row>
    <row r="2871" spans="1:10" customHeight="0">
      <c r="A2871" s="2" t="inlineStr">
        <is>
          <t>Источник бесперебойного питания</t>
        </is>
      </c>
      <c r="B2871" s="2" t="inlineStr">
        <is>
          <t>IPPON</t>
        </is>
      </c>
      <c r="C2871" s="2" t="inlineStr">
        <is>
          <t>2028477</t>
        </is>
      </c>
      <c r="D2871" s="2" t="inlineStr">
        <is>
          <t>Источник бесперебойного питания Ippon Innova RTB 1000 900Вт 1000ВА черный</t>
        </is>
      </c>
      <c r="E2871" s="2" t="inlineStr">
        <is>
          <t>+++ </t>
        </is>
      </c>
      <c r="F2871" s="2" t="inlineStr">
        <is>
          <t>+++ </t>
        </is>
      </c>
      <c r="H2871" s="2">
        <v>383</v>
      </c>
      <c r="I2871" s="2" t="inlineStr">
        <is>
          <t>$</t>
        </is>
      </c>
      <c r="J2871" s="2">
        <f>HYPERLINK("https://app.astro.lead-studio.pro/product/5e592ca2-cecb-4d5e-aab7-101be940337f")</f>
      </c>
    </row>
    <row r="2872" spans="1:10" customHeight="0">
      <c r="A2872" s="2" t="inlineStr">
        <is>
          <t>Источник бесперебойного питания</t>
        </is>
      </c>
      <c r="B2872" s="2" t="inlineStr">
        <is>
          <t>IPPON</t>
        </is>
      </c>
      <c r="C2872" s="2" t="inlineStr">
        <is>
          <t>2028478</t>
        </is>
      </c>
      <c r="D2872" s="2" t="inlineStr">
        <is>
          <t>Источник бесперебойного питания Ippon Innova RTB 1500 1350Вт 1500ВА черный</t>
        </is>
      </c>
      <c r="E2872" s="2" t="inlineStr">
        <is>
          <t>+++ </t>
        </is>
      </c>
      <c r="F2872" s="2" t="inlineStr">
        <is>
          <t>+++ </t>
        </is>
      </c>
      <c r="H2872" s="2">
        <v>478</v>
      </c>
      <c r="I2872" s="2" t="inlineStr">
        <is>
          <t>$</t>
        </is>
      </c>
      <c r="J2872" s="2">
        <f>HYPERLINK("https://app.astro.lead-studio.pro/product/03fc5f35-1807-47b4-97f1-1bf2d81c578b")</f>
      </c>
    </row>
    <row r="2873" spans="1:10" customHeight="0">
      <c r="A2873" s="2" t="inlineStr">
        <is>
          <t>Источник бесперебойного питания</t>
        </is>
      </c>
      <c r="B2873" s="2" t="inlineStr">
        <is>
          <t>IPPON</t>
        </is>
      </c>
      <c r="C2873" s="2" t="inlineStr">
        <is>
          <t>2028479</t>
        </is>
      </c>
      <c r="D2873" s="2" t="inlineStr">
        <is>
          <t>Источник бесперебойного питания Ippon Innova RTB 2000 1800Вт 2000ВА черный</t>
        </is>
      </c>
      <c r="E2873" s="2" t="inlineStr">
        <is>
          <t>+++ </t>
        </is>
      </c>
      <c r="F2873" s="2" t="inlineStr">
        <is>
          <t>+++ </t>
        </is>
      </c>
      <c r="H2873" s="2">
        <v>614</v>
      </c>
      <c r="I2873" s="2" t="inlineStr">
        <is>
          <t>$</t>
        </is>
      </c>
      <c r="J2873" s="2">
        <f>HYPERLINK("https://app.astro.lead-studio.pro/product/5fcc1e51-f06d-45ee-96e6-b87ca51c90d9")</f>
      </c>
    </row>
    <row r="2874" spans="1:10" customHeight="0">
      <c r="A2874" s="2" t="inlineStr">
        <is>
          <t>Источник бесперебойного питания</t>
        </is>
      </c>
      <c r="B2874" s="2" t="inlineStr">
        <is>
          <t>IPPON</t>
        </is>
      </c>
      <c r="C2874" s="2" t="inlineStr">
        <is>
          <t>2028480</t>
        </is>
      </c>
      <c r="D2874" s="2" t="inlineStr">
        <is>
          <t>Источник бесперебойного питания Ippon Innova RTB 3000 2700Вт 3000ВА черный</t>
        </is>
      </c>
      <c r="E2874" s="2" t="inlineStr">
        <is>
          <t>+++ </t>
        </is>
      </c>
      <c r="F2874" s="2" t="inlineStr">
        <is>
          <t>+++ </t>
        </is>
      </c>
      <c r="H2874" s="2">
        <v>813</v>
      </c>
      <c r="I2874" s="2" t="inlineStr">
        <is>
          <t>$</t>
        </is>
      </c>
      <c r="J2874" s="2">
        <f>HYPERLINK("https://app.astro.lead-studio.pro/product/4a467be1-f0f4-4f1d-8c48-e099d8667c14")</f>
      </c>
    </row>
    <row r="2875" spans="1:10" customHeight="0">
      <c r="A2875" s="2" t="inlineStr">
        <is>
          <t>Источник бесперебойного питания</t>
        </is>
      </c>
      <c r="B2875" s="2" t="inlineStr">
        <is>
          <t>IPPON</t>
        </is>
      </c>
      <c r="C2875" s="2" t="inlineStr">
        <is>
          <t>1873305</t>
        </is>
      </c>
      <c r="D2875" s="2" t="inlineStr">
        <is>
          <t>Источник бесперебойного питания Ippon Innova T II 10K 10000Вт 10000ВА черный</t>
        </is>
      </c>
      <c r="E2875" s="2" t="inlineStr">
        <is>
          <t>++ </t>
        </is>
      </c>
      <c r="F2875" s="2" t="inlineStr">
        <is>
          <t>++ </t>
        </is>
      </c>
      <c r="H2875" s="2">
        <v>2188</v>
      </c>
      <c r="I2875" s="2" t="inlineStr">
        <is>
          <t>$</t>
        </is>
      </c>
      <c r="J2875" s="2">
        <f>HYPERLINK("https://app.astro.lead-studio.pro/product/78ebc0f1-d2b6-4426-90c2-6d9274f4ffa7")</f>
      </c>
    </row>
    <row r="2876" spans="1:10" customHeight="0">
      <c r="A2876" s="2" t="inlineStr">
        <is>
          <t>Источник бесперебойного питания</t>
        </is>
      </c>
      <c r="B2876" s="2" t="inlineStr">
        <is>
          <t>IPPON</t>
        </is>
      </c>
      <c r="C2876" s="2" t="inlineStr">
        <is>
          <t>1873269</t>
        </is>
      </c>
      <c r="D2876" s="2" t="inlineStr">
        <is>
          <t>Источник бесперебойного питания Ippon Innova T II 6K 6000Вт 6000ВА черный</t>
        </is>
      </c>
      <c r="E2876" s="2" t="inlineStr">
        <is>
          <t>+ </t>
        </is>
      </c>
      <c r="F2876" s="2" t="inlineStr">
        <is>
          <t>+ </t>
        </is>
      </c>
      <c r="H2876" s="2">
        <v>1797</v>
      </c>
      <c r="I2876" s="2" t="inlineStr">
        <is>
          <t>$</t>
        </is>
      </c>
      <c r="J2876" s="2">
        <f>HYPERLINK("https://app.astro.lead-studio.pro/product/c1cf6a2a-b1be-4bb2-8ad5-d8701e5b4991")</f>
      </c>
    </row>
    <row r="2877" spans="1:10" customHeight="0">
      <c r="A2877" s="2" t="inlineStr">
        <is>
          <t>Источник бесперебойного питания</t>
        </is>
      </c>
      <c r="B2877" s="2" t="inlineStr">
        <is>
          <t>IPPON</t>
        </is>
      </c>
      <c r="C2877" s="2" t="inlineStr">
        <is>
          <t>1873308</t>
        </is>
      </c>
      <c r="D2877" s="2" t="inlineStr">
        <is>
          <t>Источник бесперебойного питания Ippon Innova T II 6KL 6000Вт 6000ВА черный без батареи</t>
        </is>
      </c>
      <c r="E2877" s="2" t="inlineStr">
        <is>
          <t>+ </t>
        </is>
      </c>
      <c r="F2877" s="2" t="inlineStr">
        <is>
          <t>+ </t>
        </is>
      </c>
      <c r="H2877" s="2">
        <v>1105</v>
      </c>
      <c r="I2877" s="2" t="inlineStr">
        <is>
          <t>$</t>
        </is>
      </c>
      <c r="J2877" s="2">
        <f>HYPERLINK("https://app.astro.lead-studio.pro/product/4bcd4863-532c-42bc-8db9-185579ac9c8b")</f>
      </c>
    </row>
    <row r="2878" spans="1:10" customHeight="0">
      <c r="A2878" s="2" t="inlineStr">
        <is>
          <t>Источник бесперебойного питания</t>
        </is>
      </c>
      <c r="B2878" s="2" t="inlineStr">
        <is>
          <t>IPPON</t>
        </is>
      </c>
      <c r="C2878" s="2" t="inlineStr">
        <is>
          <t>2050423</t>
        </is>
      </c>
      <c r="D2878" s="2" t="inlineStr">
        <is>
          <t>Источник бесперебойного питания Ippon Innova TB 2000 1800Вт 2000ВА черный</t>
        </is>
      </c>
      <c r="E2878" s="2" t="inlineStr">
        <is>
          <t>+++ </t>
        </is>
      </c>
      <c r="F2878" s="2" t="inlineStr">
        <is>
          <t>+++ </t>
        </is>
      </c>
      <c r="H2878" s="2">
        <v>433</v>
      </c>
      <c r="I2878" s="2" t="inlineStr">
        <is>
          <t>$</t>
        </is>
      </c>
      <c r="J2878" s="2">
        <f>HYPERLINK("https://app.astro.lead-studio.pro/product/d9771de8-1ce4-4ead-ac7c-3226f6f4bb6f")</f>
      </c>
    </row>
    <row r="2879" spans="1:10" customHeight="0">
      <c r="A2879" s="2" t="inlineStr">
        <is>
          <t>Источник бесперебойного питания</t>
        </is>
      </c>
      <c r="B2879" s="2" t="inlineStr">
        <is>
          <t>IPPON</t>
        </is>
      </c>
      <c r="C2879" s="2" t="inlineStr">
        <is>
          <t>2050424</t>
        </is>
      </c>
      <c r="D2879" s="2" t="inlineStr">
        <is>
          <t>Источник бесперебойного питания Ippon Innova TB 3000 2700Вт 3000ВА черный</t>
        </is>
      </c>
      <c r="E2879" s="2" t="inlineStr">
        <is>
          <t>+++ </t>
        </is>
      </c>
      <c r="F2879" s="2" t="inlineStr">
        <is>
          <t>+++ </t>
        </is>
      </c>
      <c r="H2879" s="2">
        <v>582</v>
      </c>
      <c r="I2879" s="2" t="inlineStr">
        <is>
          <t>$</t>
        </is>
      </c>
      <c r="J2879" s="2">
        <f>HYPERLINK("https://app.astro.lead-studio.pro/product/c73bbc92-0ecf-44e6-9f1c-233422c3ed0d")</f>
      </c>
    </row>
    <row r="2880" spans="1:10" customHeight="0">
      <c r="A2880" s="2" t="inlineStr">
        <is>
          <t>Источник бесперебойного питания</t>
        </is>
      </c>
      <c r="B2880" s="2" t="inlineStr">
        <is>
          <t>IPPON</t>
        </is>
      </c>
      <c r="C2880" s="2" t="inlineStr">
        <is>
          <t>2050430</t>
        </is>
      </c>
      <c r="D2880" s="2" t="inlineStr">
        <is>
          <t>Источник бесперебойного питания Ippon Innova TBE 2000 1800Вт 2000ВА черный</t>
        </is>
      </c>
      <c r="E2880" s="2" t="inlineStr">
        <is>
          <t>+++ </t>
        </is>
      </c>
      <c r="F2880" s="2" t="inlineStr">
        <is>
          <t>+++ </t>
        </is>
      </c>
      <c r="H2880" s="2">
        <v>455</v>
      </c>
      <c r="I2880" s="2" t="inlineStr">
        <is>
          <t>$</t>
        </is>
      </c>
      <c r="J2880" s="2">
        <f>HYPERLINK("https://app.astro.lead-studio.pro/product/ebf4db8b-e502-41ec-b742-dfd71673890f")</f>
      </c>
    </row>
    <row r="2881" spans="1:10" customHeight="0">
      <c r="A2881" s="2" t="inlineStr">
        <is>
          <t>Источник бесперебойного питания</t>
        </is>
      </c>
      <c r="B2881" s="2" t="inlineStr">
        <is>
          <t>IPPON</t>
        </is>
      </c>
      <c r="C2881" s="2" t="inlineStr">
        <is>
          <t>2050431</t>
        </is>
      </c>
      <c r="D2881" s="2" t="inlineStr">
        <is>
          <t>Источник бесперебойного питания Ippon Innova TBE 3000 2700Вт 3000ВА черный</t>
        </is>
      </c>
      <c r="E2881" s="2" t="inlineStr">
        <is>
          <t>+++ </t>
        </is>
      </c>
      <c r="F2881" s="2" t="inlineStr">
        <is>
          <t>+++ </t>
        </is>
      </c>
      <c r="H2881" s="2">
        <v>613</v>
      </c>
      <c r="I2881" s="2" t="inlineStr">
        <is>
          <t>$</t>
        </is>
      </c>
      <c r="J2881" s="2">
        <f>HYPERLINK("https://app.astro.lead-studio.pro/product/080b63c6-c7f0-4ebe-8b43-db44dbf8aad5")</f>
      </c>
    </row>
    <row r="2882" spans="1:10" customHeight="0">
      <c r="A2882" s="2" t="inlineStr">
        <is>
          <t>Источник бесперебойного питания</t>
        </is>
      </c>
      <c r="B2882" s="2" t="inlineStr">
        <is>
          <t>IPPON</t>
        </is>
      </c>
      <c r="C2882" s="2" t="inlineStr">
        <is>
          <t>1445970</t>
        </is>
      </c>
      <c r="D2882" s="2" t="inlineStr">
        <is>
          <t>Источник бесперебойного питания Ippon Innova Unity RT 3-3 10K 10000Вт 10000ВА черный</t>
        </is>
      </c>
      <c r="E2882" s="2" t="inlineStr">
        <is>
          <t>+ </t>
        </is>
      </c>
      <c r="F2882" s="2" t="inlineStr">
        <is>
          <t>+ </t>
        </is>
      </c>
      <c r="H2882" s="2">
        <v>4723</v>
      </c>
      <c r="I2882" s="2" t="inlineStr">
        <is>
          <t>$</t>
        </is>
      </c>
      <c r="J2882" s="2">
        <f>HYPERLINK("https://app.astro.lead-studio.pro/product/823e342a-db5f-4290-a0a6-f6ca2a174031")</f>
      </c>
    </row>
    <row r="2883" spans="1:10" customHeight="0">
      <c r="A2883" s="2" t="inlineStr">
        <is>
          <t>Источник бесперебойного питания</t>
        </is>
      </c>
      <c r="B2883" s="2" t="inlineStr">
        <is>
          <t>IPPON</t>
        </is>
      </c>
      <c r="C2883" s="2" t="inlineStr">
        <is>
          <t>1445985</t>
        </is>
      </c>
      <c r="D2883" s="2" t="inlineStr">
        <is>
          <t>Источник бесперебойного питания Ippon Innova Unity RT 3-3 20K 20000Вт 20000ВА черный</t>
        </is>
      </c>
      <c r="E2883" s="2" t="inlineStr">
        <is>
          <t>+ </t>
        </is>
      </c>
      <c r="F2883" s="2" t="inlineStr">
        <is>
          <t>+ </t>
        </is>
      </c>
      <c r="H2883" s="2">
        <v>6500</v>
      </c>
      <c r="I2883" s="2" t="inlineStr">
        <is>
          <t>$</t>
        </is>
      </c>
      <c r="J2883" s="2">
        <f>HYPERLINK("https://app.astro.lead-studio.pro/product/806ba91f-05cd-405c-8f9e-a55b16da4e76")</f>
      </c>
    </row>
    <row r="2884" spans="1:10" customHeight="0">
      <c r="A2884" s="2" t="inlineStr">
        <is>
          <t>Источник бесперебойного питания</t>
        </is>
      </c>
      <c r="B2884" s="2" t="inlineStr">
        <is>
          <t>IPPON</t>
        </is>
      </c>
      <c r="C2884" s="2" t="inlineStr">
        <is>
          <t>1987886</t>
        </is>
      </c>
      <c r="D2884" s="2" t="inlineStr">
        <is>
          <t>Источник бесперебойного питания Ippon Innova Unity RT 3-3 20K PM 20000Вт 20000ВА черный</t>
        </is>
      </c>
      <c r="E2884" s="2" t="inlineStr">
        <is>
          <t>+ </t>
        </is>
      </c>
      <c r="F2884" s="2" t="inlineStr">
        <is>
          <t>+ </t>
        </is>
      </c>
      <c r="H2884" s="2">
        <v>5477</v>
      </c>
      <c r="I2884" s="2" t="inlineStr">
        <is>
          <t>$</t>
        </is>
      </c>
      <c r="J2884" s="2">
        <f>HYPERLINK("https://app.astro.lead-studio.pro/product/cc5257c4-74ed-4ceb-a935-b7afcc2446d2")</f>
      </c>
    </row>
    <row r="2885" spans="1:10" customHeight="0">
      <c r="A2885" s="2" t="inlineStr">
        <is>
          <t>Источник бесперебойного питания</t>
        </is>
      </c>
      <c r="B2885" s="2" t="inlineStr">
        <is>
          <t>IPPON</t>
        </is>
      </c>
      <c r="C2885" s="2" t="inlineStr">
        <is>
          <t>2028774</t>
        </is>
      </c>
      <c r="D2885" s="2" t="inlineStr">
        <is>
          <t>Источник бесперебойного питания Ippon Intatum ML 100K 100000Вт 100000ВА черный</t>
        </is>
      </c>
      <c r="E2885" s="2" t="inlineStr">
        <is>
          <t>+ </t>
        </is>
      </c>
      <c r="F2885" s="2" t="inlineStr">
        <is>
          <t>+ </t>
        </is>
      </c>
      <c r="H2885" s="2">
        <v>21843</v>
      </c>
      <c r="I2885" s="2" t="inlineStr">
        <is>
          <t>$</t>
        </is>
      </c>
      <c r="J2885" s="2">
        <f>HYPERLINK("https://app.astro.lead-studio.pro/product/aeaf354e-d589-4311-8efa-56b8baf07767")</f>
      </c>
    </row>
    <row r="2886" spans="1:10" customHeight="0">
      <c r="A2886" s="2" t="inlineStr">
        <is>
          <t>Источник бесперебойного питания</t>
        </is>
      </c>
      <c r="B2886" s="2" t="inlineStr">
        <is>
          <t>IPPON</t>
        </is>
      </c>
      <c r="C2886" s="2" t="inlineStr">
        <is>
          <t>2028775</t>
        </is>
      </c>
      <c r="D2886" s="2" t="inlineStr">
        <is>
          <t>Источник бесперебойного питания Ippon Intatum ML 120K 120000Вт 120000ВА черный</t>
        </is>
      </c>
      <c r="E2886" s="2" t="inlineStr">
        <is>
          <t>+ </t>
        </is>
      </c>
      <c r="F2886" s="2" t="inlineStr">
        <is>
          <t>+ </t>
        </is>
      </c>
      <c r="H2886" s="2">
        <v>24780</v>
      </c>
      <c r="I2886" s="2" t="inlineStr">
        <is>
          <t>$</t>
        </is>
      </c>
      <c r="J2886" s="2">
        <f>HYPERLINK("https://app.astro.lead-studio.pro/product/debbe92d-82b0-42f0-a45e-0a7bad94d965")</f>
      </c>
    </row>
    <row r="2887" spans="1:10" customHeight="0">
      <c r="A2887" s="2" t="inlineStr">
        <is>
          <t>Источник бесперебойного питания</t>
        </is>
      </c>
      <c r="B2887" s="2" t="inlineStr">
        <is>
          <t>IPPON</t>
        </is>
      </c>
      <c r="C2887" s="2" t="inlineStr">
        <is>
          <t>2028778</t>
        </is>
      </c>
      <c r="D2887" s="2" t="inlineStr">
        <is>
          <t>Источник бесперебойного питания Ippon Intatum ML 200K 200000Вт 200000ВА черный</t>
        </is>
      </c>
      <c r="E2887" s="2" t="inlineStr">
        <is>
          <t>+ </t>
        </is>
      </c>
      <c r="F2887" s="2" t="inlineStr">
        <is>
          <t>+ </t>
        </is>
      </c>
      <c r="H2887" s="2">
        <v>31419</v>
      </c>
      <c r="I2887" s="2" t="inlineStr">
        <is>
          <t>$</t>
        </is>
      </c>
      <c r="J2887" s="2">
        <f>HYPERLINK("https://app.astro.lead-studio.pro/product/32735499-8a1b-43e4-982a-d988a38e0d86")</f>
      </c>
    </row>
    <row r="2888" spans="1:10" customHeight="0">
      <c r="A2888" s="2" t="inlineStr">
        <is>
          <t>Источник бесперебойного питания</t>
        </is>
      </c>
      <c r="B2888" s="2" t="inlineStr">
        <is>
          <t>IPPON</t>
        </is>
      </c>
      <c r="C2888" s="2" t="inlineStr">
        <is>
          <t>2028779</t>
        </is>
      </c>
      <c r="D2888" s="2" t="inlineStr">
        <is>
          <t>Источник бесперебойного питания Ippon Intatum ML 300K 300000Вт 300000ВА черный</t>
        </is>
      </c>
      <c r="E2888" s="2" t="inlineStr">
        <is>
          <t>+ </t>
        </is>
      </c>
      <c r="F2888" s="2" t="inlineStr">
        <is>
          <t>+ </t>
        </is>
      </c>
      <c r="H2888" s="2">
        <v>33620</v>
      </c>
      <c r="I2888" s="2" t="inlineStr">
        <is>
          <t>$</t>
        </is>
      </c>
      <c r="J2888" s="2">
        <f>HYPERLINK("https://app.astro.lead-studio.pro/product/71db2dcf-a62c-49e5-a5b1-ee17ad5a1bbe")</f>
      </c>
    </row>
    <row r="2889" spans="1:10" customHeight="0">
      <c r="A2889" s="2" t="inlineStr">
        <is>
          <t>Источник бесперебойного питания</t>
        </is>
      </c>
      <c r="B2889" s="2" t="inlineStr">
        <is>
          <t>IPPON</t>
        </is>
      </c>
      <c r="C2889" s="2" t="inlineStr">
        <is>
          <t>1994637</t>
        </is>
      </c>
      <c r="D2889" s="2" t="inlineStr">
        <is>
          <t>Источник бесперебойного питания Ippon Novus 10K 9000Вт 10000ВА черный</t>
        </is>
      </c>
      <c r="E2889" s="2" t="inlineStr">
        <is>
          <t>+ </t>
        </is>
      </c>
      <c r="F2889" s="2" t="inlineStr">
        <is>
          <t>+ </t>
        </is>
      </c>
      <c r="H2889" s="2">
        <v>1340</v>
      </c>
      <c r="I2889" s="2" t="inlineStr">
        <is>
          <t>$</t>
        </is>
      </c>
      <c r="J2889" s="2">
        <f>HYPERLINK("https://app.astro.lead-studio.pro/product/db4da3c6-bb43-4ac9-8cd4-d4e468ee7c6c")</f>
      </c>
    </row>
    <row r="2890" spans="1:10" customHeight="0">
      <c r="A2890" s="2" t="inlineStr">
        <is>
          <t>Источник бесперебойного питания</t>
        </is>
      </c>
      <c r="B2890" s="2" t="inlineStr">
        <is>
          <t>IPPON</t>
        </is>
      </c>
      <c r="C2890" s="2" t="inlineStr">
        <is>
          <t>1974624</t>
        </is>
      </c>
      <c r="D2890" s="2" t="inlineStr">
        <is>
          <t>Источник бесперебойного питания Ippon Pacific 1000 900Вт 1000ВА черный</t>
        </is>
      </c>
      <c r="E2890" s="2" t="inlineStr">
        <is>
          <t>+++ </t>
        </is>
      </c>
      <c r="F2890" s="2" t="inlineStr">
        <is>
          <t>+++ </t>
        </is>
      </c>
      <c r="H2890" s="2">
        <v>333</v>
      </c>
      <c r="I2890" s="2" t="inlineStr">
        <is>
          <t>$</t>
        </is>
      </c>
      <c r="J2890" s="2">
        <f>HYPERLINK("https://app.astro.lead-studio.pro/product/09af497a-c8cb-49ea-b347-1992183aa160")</f>
      </c>
    </row>
    <row r="2891" spans="1:10" customHeight="0">
      <c r="A2891" s="2" t="inlineStr">
        <is>
          <t>Источник бесперебойного питания</t>
        </is>
      </c>
      <c r="B2891" s="2" t="inlineStr">
        <is>
          <t>IPPON</t>
        </is>
      </c>
      <c r="C2891" s="2" t="inlineStr">
        <is>
          <t>1976002</t>
        </is>
      </c>
      <c r="D2891" s="2" t="inlineStr">
        <is>
          <t>Источник бесперебойного питания Ippon Pacific 3000 2700Вт 3000ВА черный</t>
        </is>
      </c>
      <c r="E2891" s="2" t="inlineStr">
        <is>
          <t>+++ </t>
        </is>
      </c>
      <c r="F2891" s="2" t="inlineStr">
        <is>
          <t>+++ </t>
        </is>
      </c>
      <c r="H2891" s="2">
        <v>600</v>
      </c>
      <c r="I2891" s="2" t="inlineStr">
        <is>
          <t>$</t>
        </is>
      </c>
      <c r="J2891" s="2">
        <f>HYPERLINK("https://app.astro.lead-studio.pro/product/2d8a3495-28b7-4487-9ff8-0cef2417fb48")</f>
      </c>
    </row>
    <row r="2892" spans="1:10" customHeight="0">
      <c r="A2892" s="2" t="inlineStr">
        <is>
          <t>Источник бесперебойного питания</t>
        </is>
      </c>
      <c r="B2892" s="2" t="inlineStr">
        <is>
          <t>IPPON</t>
        </is>
      </c>
      <c r="C2892" s="2" t="inlineStr">
        <is>
          <t>1192977</t>
        </is>
      </c>
      <c r="D2892" s="2" t="inlineStr">
        <is>
          <t>Источник бесперебойного питания Ippon Smart Winner II 1000 900Вт 1000ВА черный</t>
        </is>
      </c>
      <c r="E2892" s="2" t="inlineStr">
        <is>
          <t>+++ </t>
        </is>
      </c>
      <c r="F2892" s="2" t="inlineStr">
        <is>
          <t>+++ </t>
        </is>
      </c>
      <c r="H2892" s="2">
        <v>388</v>
      </c>
      <c r="I2892" s="2" t="inlineStr">
        <is>
          <t>$</t>
        </is>
      </c>
      <c r="J2892" s="2">
        <f>HYPERLINK("https://app.astro.lead-studio.pro/product/3ea7b733-c463-422d-9609-4675a502fef6")</f>
      </c>
    </row>
    <row r="2893" spans="1:10" customHeight="0">
      <c r="A2893" s="2" t="inlineStr">
        <is>
          <t>Источник бесперебойного питания</t>
        </is>
      </c>
      <c r="B2893" s="2" t="inlineStr">
        <is>
          <t>IPPON</t>
        </is>
      </c>
      <c r="C2893" s="2" t="inlineStr">
        <is>
          <t>1192978</t>
        </is>
      </c>
      <c r="D2893" s="2" t="inlineStr">
        <is>
          <t>Источник бесперебойного питания Ippon Smart Winner II 1500 1350Вт 1500ВА черный</t>
        </is>
      </c>
      <c r="E2893" s="2" t="inlineStr">
        <is>
          <t>+++ </t>
        </is>
      </c>
      <c r="F2893" s="2" t="inlineStr">
        <is>
          <t>+++ </t>
        </is>
      </c>
      <c r="H2893" s="2">
        <v>565</v>
      </c>
      <c r="I2893" s="2" t="inlineStr">
        <is>
          <t>$</t>
        </is>
      </c>
      <c r="J2893" s="2">
        <f>HYPERLINK("https://app.astro.lead-studio.pro/product/4aad05f7-cdbc-46be-9722-df405ef778f1")</f>
      </c>
    </row>
    <row r="2894" spans="1:10" customHeight="0">
      <c r="A2894" s="2" t="inlineStr">
        <is>
          <t>Источник бесперебойного питания</t>
        </is>
      </c>
      <c r="B2894" s="2" t="inlineStr">
        <is>
          <t>IPPON</t>
        </is>
      </c>
      <c r="C2894" s="2" t="inlineStr">
        <is>
          <t>1192980</t>
        </is>
      </c>
      <c r="D2894" s="2" t="inlineStr">
        <is>
          <t>Источник бесперебойного питания Ippon Smart Winner II 2000E 1800Вт 2000ВА черный</t>
        </is>
      </c>
      <c r="E2894" s="2" t="inlineStr">
        <is>
          <t>+ </t>
        </is>
      </c>
      <c r="F2894" s="2" t="inlineStr">
        <is>
          <t>+ </t>
        </is>
      </c>
      <c r="H2894" s="2">
        <v>708</v>
      </c>
      <c r="I2894" s="2" t="inlineStr">
        <is>
          <t>$</t>
        </is>
      </c>
      <c r="J2894" s="2">
        <f>HYPERLINK("https://app.astro.lead-studio.pro/product/1a0b3587-688c-49c7-8f26-95e34c60efcd")</f>
      </c>
    </row>
    <row r="2895" spans="1:10" customHeight="0">
      <c r="A2895" s="2" t="inlineStr">
        <is>
          <t>Источник бесперебойного питания</t>
        </is>
      </c>
      <c r="B2895" s="2" t="inlineStr">
        <is>
          <t>POWERCOM</t>
        </is>
      </c>
      <c r="C2895" s="2" t="inlineStr">
        <is>
          <t>IMD-3000AP</t>
        </is>
      </c>
      <c r="D2895" s="2" t="inlineStr">
        <is>
          <t>Источник бесперебойного питания Powercom Imperial IMD-3000AP 1800Вт 3000ВА черный</t>
        </is>
      </c>
      <c r="E2895" s="2" t="inlineStr">
        <is>
          <t>+ </t>
        </is>
      </c>
      <c r="F2895" s="2" t="inlineStr">
        <is>
          <t>+ </t>
        </is>
      </c>
      <c r="H2895" s="2">
        <v>396</v>
      </c>
      <c r="I2895" s="2" t="inlineStr">
        <is>
          <t>$</t>
        </is>
      </c>
      <c r="J2895" s="2">
        <f>HYPERLINK("https://app.astro.lead-studio.pro/product/b4583260-224d-44d9-849e-0be0fe458c6d")</f>
      </c>
    </row>
    <row r="2896" spans="1:10" customHeight="0">
      <c r="A2896" s="2" t="inlineStr">
        <is>
          <t>Источник бесперебойного питания</t>
        </is>
      </c>
      <c r="B2896" s="2" t="inlineStr">
        <is>
          <t>POWERCOM</t>
        </is>
      </c>
      <c r="C2896" s="2" t="inlineStr">
        <is>
          <t>IMP-3000AP</t>
        </is>
      </c>
      <c r="D2896" s="2" t="inlineStr">
        <is>
          <t>Источник бесперебойного питания Powercom Imperial IMP-3000AP 1800Вт 3000ВА черный</t>
        </is>
      </c>
      <c r="E2896" s="2" t="inlineStr">
        <is>
          <t>+ </t>
        </is>
      </c>
      <c r="F2896" s="2" t="inlineStr">
        <is>
          <t>+ </t>
        </is>
      </c>
      <c r="H2896" s="2">
        <v>394</v>
      </c>
      <c r="I2896" s="2" t="inlineStr">
        <is>
          <t>$</t>
        </is>
      </c>
      <c r="J2896" s="2">
        <f>HYPERLINK("https://app.astro.lead-studio.pro/product/43707043-1855-421a-be2d-9cc9d21a012c")</f>
      </c>
    </row>
    <row r="2897" spans="1:10" customHeight="0">
      <c r="A2897" s="2" t="inlineStr">
        <is>
          <t>Источник бесперебойного питания</t>
        </is>
      </c>
      <c r="B2897" s="2" t="inlineStr">
        <is>
          <t>POWERCOM</t>
        </is>
      </c>
      <c r="C2897" s="2" t="inlineStr">
        <is>
          <t>INF-3000</t>
        </is>
      </c>
      <c r="D2897" s="2" t="inlineStr">
        <is>
          <t>Источник бесперебойного питания Powercom Infinity INF-3000 1800Вт 3000ВА черный</t>
        </is>
      </c>
      <c r="E2897" s="2" t="inlineStr">
        <is>
          <t>+ </t>
        </is>
      </c>
      <c r="F2897" s="2" t="inlineStr">
        <is>
          <t>+ </t>
        </is>
      </c>
      <c r="H2897" s="2">
        <v>331</v>
      </c>
      <c r="I2897" s="2" t="inlineStr">
        <is>
          <t>$</t>
        </is>
      </c>
      <c r="J2897" s="2">
        <f>HYPERLINK("https://app.astro.lead-studio.pro/product/50b8bb2c-1c79-454c-be1c-f670a7b98f08")</f>
      </c>
    </row>
    <row r="2898" spans="1:10" customHeight="0">
      <c r="A2898" s="2" t="inlineStr">
        <is>
          <t>Источник бесперебойного питания</t>
        </is>
      </c>
      <c r="B2898" s="2" t="inlineStr">
        <is>
          <t>POWERCOM</t>
        </is>
      </c>
      <c r="C2898" s="2" t="inlineStr">
        <is>
          <t>KIN-1200AP LCD</t>
        </is>
      </c>
      <c r="D2898" s="2" t="inlineStr">
        <is>
          <t>Источник бесперебойного питания Powercom King Pro RM KIN-1200AP LCD 960Вт 1200ВА черный</t>
        </is>
      </c>
      <c r="E2898" s="2" t="inlineStr">
        <is>
          <t>+ </t>
        </is>
      </c>
      <c r="F2898" s="2" t="inlineStr">
        <is>
          <t>+ </t>
        </is>
      </c>
      <c r="H2898" s="2">
        <v>334</v>
      </c>
      <c r="I2898" s="2" t="inlineStr">
        <is>
          <t>$</t>
        </is>
      </c>
      <c r="J2898" s="2">
        <f>HYPERLINK("https://app.astro.lead-studio.pro/product/7d1f4c07-0007-4c33-8ae7-a1fa4ba6da92")</f>
      </c>
    </row>
    <row r="2899" spans="1:10" customHeight="0">
      <c r="A2899" s="2" t="inlineStr">
        <is>
          <t>Источник бесперебойного питания</t>
        </is>
      </c>
      <c r="B2899" s="2" t="inlineStr">
        <is>
          <t>POWERCOM</t>
        </is>
      </c>
      <c r="C2899" s="2" t="inlineStr">
        <is>
          <t>KIN-1500AP LCD</t>
        </is>
      </c>
      <c r="D2899" s="2" t="inlineStr">
        <is>
          <t>Источник бесперебойного питания Powercom King Pro RM KIN-1500AP LCD 1200Вт 1500ВА черный</t>
        </is>
      </c>
      <c r="E2899" s="2" t="inlineStr">
        <is>
          <t>+ </t>
        </is>
      </c>
      <c r="F2899" s="2" t="inlineStr">
        <is>
          <t>+ </t>
        </is>
      </c>
      <c r="H2899" s="2">
        <v>371</v>
      </c>
      <c r="I2899" s="2" t="inlineStr">
        <is>
          <t>$</t>
        </is>
      </c>
      <c r="J2899" s="2">
        <f>HYPERLINK("https://app.astro.lead-studio.pro/product/a347f1c3-2583-4927-baea-892cc8f3d1ed")</f>
      </c>
    </row>
    <row r="2900" spans="1:10" customHeight="0">
      <c r="A2900" s="2" t="inlineStr">
        <is>
          <t>Источник бесперебойного питания</t>
        </is>
      </c>
      <c r="B2900" s="2" t="inlineStr">
        <is>
          <t>POWERCOM</t>
        </is>
      </c>
      <c r="C2900" s="2" t="inlineStr">
        <is>
          <t>KIN-2200AP LCD</t>
        </is>
      </c>
      <c r="D2900" s="2" t="inlineStr">
        <is>
          <t>Источник бесперебойного питания Powercom King Pro RM KIN-2200AP LCD 1760Вт 2200ВА черный</t>
        </is>
      </c>
      <c r="E2900" s="2" t="inlineStr">
        <is>
          <t>+ </t>
        </is>
      </c>
      <c r="F2900" s="2" t="inlineStr">
        <is>
          <t>+ </t>
        </is>
      </c>
      <c r="H2900" s="2">
        <v>513</v>
      </c>
      <c r="I2900" s="2" t="inlineStr">
        <is>
          <t>$</t>
        </is>
      </c>
      <c r="J2900" s="2">
        <f>HYPERLINK("https://app.astro.lead-studio.pro/product/abc826c2-4327-4be9-8f97-e1fb3ea79a4f")</f>
      </c>
    </row>
    <row r="2901" spans="1:10" customHeight="0">
      <c r="A2901" s="2" t="inlineStr">
        <is>
          <t>Источник бесперебойного питания</t>
        </is>
      </c>
      <c r="B2901" s="2" t="inlineStr">
        <is>
          <t>POWERCOM</t>
        </is>
      </c>
      <c r="C2901" s="2" t="inlineStr">
        <is>
          <t>MAC-1500</t>
        </is>
      </c>
      <c r="D2901" s="2" t="inlineStr">
        <is>
          <t>Источник бесперебойного питания Powercom Macan MAC-1500 1500Вт 1500ВА черный</t>
        </is>
      </c>
      <c r="E2901" s="2" t="inlineStr">
        <is>
          <t>+ </t>
        </is>
      </c>
      <c r="F2901" s="2" t="inlineStr">
        <is>
          <t>+ </t>
        </is>
      </c>
      <c r="H2901" s="2">
        <v>398</v>
      </c>
      <c r="I2901" s="2" t="inlineStr">
        <is>
          <t>$</t>
        </is>
      </c>
      <c r="J2901" s="2">
        <f>HYPERLINK("https://app.astro.lead-studio.pro/product/15501cf0-ba98-4a0a-b4ab-f791dceebb26")</f>
      </c>
    </row>
    <row r="2902" spans="1:10" customHeight="0">
      <c r="A2902" s="2" t="inlineStr">
        <is>
          <t>Источник бесперебойного питания</t>
        </is>
      </c>
      <c r="B2902" s="2" t="inlineStr">
        <is>
          <t>POWERCOM</t>
        </is>
      </c>
      <c r="C2902" s="2" t="inlineStr">
        <is>
          <t>MAC-3000</t>
        </is>
      </c>
      <c r="D2902" s="2" t="inlineStr">
        <is>
          <t>Источник бесперебойного питания Powercom Macan MAC-3000 3000Вт 3000ВА черный</t>
        </is>
      </c>
      <c r="E2902" s="2" t="inlineStr">
        <is>
          <t>+ </t>
        </is>
      </c>
      <c r="F2902" s="2" t="inlineStr">
        <is>
          <t>+ </t>
        </is>
      </c>
      <c r="H2902" s="2">
        <v>514</v>
      </c>
      <c r="I2902" s="2" t="inlineStr">
        <is>
          <t>$</t>
        </is>
      </c>
      <c r="J2902" s="2">
        <f>HYPERLINK("https://app.astro.lead-studio.pro/product/ffc15e4f-9794-4fba-b648-fc0e403ebc43")</f>
      </c>
    </row>
    <row r="2903" spans="1:10" customHeight="0">
      <c r="A2903" s="2" t="inlineStr">
        <is>
          <t>Источник бесперебойного питания</t>
        </is>
      </c>
      <c r="B2903" s="2" t="inlineStr">
        <is>
          <t>POWERCOM</t>
        </is>
      </c>
      <c r="C2903" s="2" t="inlineStr">
        <is>
          <t>MRT-1000SE</t>
        </is>
      </c>
      <c r="D2903" s="2" t="inlineStr">
        <is>
          <t>Источник бесперебойного питания Powercom Macan MRT-1000SE 1000Вт 1000ВА черный</t>
        </is>
      </c>
      <c r="E2903" s="2" t="inlineStr">
        <is>
          <t>++ </t>
        </is>
      </c>
      <c r="F2903" s="2" t="inlineStr">
        <is>
          <t>++ </t>
        </is>
      </c>
      <c r="H2903" s="2">
        <v>346</v>
      </c>
      <c r="I2903" s="2" t="inlineStr">
        <is>
          <t>$</t>
        </is>
      </c>
      <c r="J2903" s="2">
        <f>HYPERLINK("https://app.astro.lead-studio.pro/product/797707d7-2d19-4da1-b5fb-43ef9c616a13")</f>
      </c>
    </row>
    <row r="2904" spans="1:10" customHeight="0">
      <c r="A2904" s="2" t="inlineStr">
        <is>
          <t>Источник бесперебойного питания</t>
        </is>
      </c>
      <c r="B2904" s="2" t="inlineStr">
        <is>
          <t>POWERCOM</t>
        </is>
      </c>
      <c r="C2904" s="2" t="inlineStr">
        <is>
          <t>MRT-1500SE</t>
        </is>
      </c>
      <c r="D2904" s="2" t="inlineStr">
        <is>
          <t>Источник бесперебойного питания Powercom Macan MRT-1500SE 1500Вт 1500ВА черный</t>
        </is>
      </c>
      <c r="E2904" s="2" t="inlineStr">
        <is>
          <t>+++ </t>
        </is>
      </c>
      <c r="F2904" s="2" t="inlineStr">
        <is>
          <t>+++ </t>
        </is>
      </c>
      <c r="H2904" s="2">
        <v>410</v>
      </c>
      <c r="I2904" s="2" t="inlineStr">
        <is>
          <t>$</t>
        </is>
      </c>
      <c r="J2904" s="2">
        <f>HYPERLINK("https://app.astro.lead-studio.pro/product/dc7cd085-cc9e-4b9d-b033-bbc35babbcf4")</f>
      </c>
    </row>
    <row r="2905" spans="1:10" customHeight="0">
      <c r="A2905" s="2" t="inlineStr">
        <is>
          <t>Источник бесперебойного питания</t>
        </is>
      </c>
      <c r="B2905" s="2" t="inlineStr">
        <is>
          <t>POWERCOM</t>
        </is>
      </c>
      <c r="C2905" s="2" t="inlineStr">
        <is>
          <t>MRT-2000SE</t>
        </is>
      </c>
      <c r="D2905" s="2" t="inlineStr">
        <is>
          <t>Источник бесперебойного питания Powercom Macan MRT-2000SE 2000Вт 2000ВА черный</t>
        </is>
      </c>
      <c r="E2905" s="2" t="inlineStr">
        <is>
          <t>++ </t>
        </is>
      </c>
      <c r="F2905" s="2" t="inlineStr">
        <is>
          <t>++ </t>
        </is>
      </c>
      <c r="H2905" s="2">
        <v>558</v>
      </c>
      <c r="I2905" s="2" t="inlineStr">
        <is>
          <t>$</t>
        </is>
      </c>
      <c r="J2905" s="2">
        <f>HYPERLINK("https://app.astro.lead-studio.pro/product/bbd2a35a-8c70-47a4-923c-86f6a5e1fcd4")</f>
      </c>
    </row>
    <row r="2906" spans="1:10" customHeight="0">
      <c r="A2906" s="2" t="inlineStr">
        <is>
          <t>Источник бесперебойного питания</t>
        </is>
      </c>
      <c r="B2906" s="2" t="inlineStr">
        <is>
          <t>POWERCOM</t>
        </is>
      </c>
      <c r="C2906" s="2" t="inlineStr">
        <is>
          <t>MRT-3000SE</t>
        </is>
      </c>
      <c r="D2906" s="2" t="inlineStr">
        <is>
          <t>Источник бесперебойного питания Powercom Macan MRT-3000SE 3000Вт 3000ВА черный</t>
        </is>
      </c>
      <c r="E2906" s="2" t="inlineStr">
        <is>
          <t>++ </t>
        </is>
      </c>
      <c r="F2906" s="2" t="inlineStr">
        <is>
          <t>++ </t>
        </is>
      </c>
      <c r="H2906" s="2">
        <v>617</v>
      </c>
      <c r="I2906" s="2" t="inlineStr">
        <is>
          <t>$</t>
        </is>
      </c>
      <c r="J2906" s="2">
        <f>HYPERLINK("https://app.astro.lead-studio.pro/product/034188a0-0f19-49ef-810b-af328f18301a")</f>
      </c>
    </row>
    <row r="2907" spans="1:10" customHeight="0">
      <c r="A2907" s="2" t="inlineStr">
        <is>
          <t>Источник бесперебойного питания</t>
        </is>
      </c>
      <c r="B2907" s="2" t="inlineStr">
        <is>
          <t>POWERCOM</t>
        </is>
      </c>
      <c r="C2907" s="2" t="inlineStr">
        <is>
          <t>MRT-6000(COMPATIBLE W/BAT/PDU)</t>
        </is>
      </c>
      <c r="D2907" s="2" t="inlineStr">
        <is>
          <t>Источник бесперебойного питания Powercom Macan MRT-6000 6000Вт 6000ВА черный без батареи</t>
        </is>
      </c>
      <c r="E2907" s="2" t="inlineStr">
        <is>
          <t>+ </t>
        </is>
      </c>
      <c r="F2907" s="2" t="inlineStr">
        <is>
          <t>+ </t>
        </is>
      </c>
      <c r="H2907" s="2">
        <v>1009</v>
      </c>
      <c r="I2907" s="2" t="inlineStr">
        <is>
          <t>$</t>
        </is>
      </c>
      <c r="J2907" s="2">
        <f>HYPERLINK("https://app.astro.lead-studio.pro/product/c6fdbbd3-3f7a-4ee4-95ca-3aa6c10d6d42")</f>
      </c>
    </row>
    <row r="2908" spans="1:10" customHeight="0">
      <c r="A2908" s="2" t="inlineStr">
        <is>
          <t>Источник бесперебойного питания</t>
        </is>
      </c>
      <c r="B2908" s="2" t="inlineStr">
        <is>
          <t>POWERCOM</t>
        </is>
      </c>
      <c r="C2908" s="2" t="inlineStr">
        <is>
          <t>MRT-6K BAT PACK</t>
        </is>
      </c>
      <c r="D2908" s="2" t="inlineStr">
        <is>
          <t>Источник бесперебойного питания Powercom Macan MRT-6000 BAT PACK 6000Вт 6000ВА черный</t>
        </is>
      </c>
      <c r="E2908" s="2" t="inlineStr">
        <is>
          <t>+ </t>
        </is>
      </c>
      <c r="F2908" s="2" t="inlineStr">
        <is>
          <t>+ </t>
        </is>
      </c>
      <c r="H2908" s="2">
        <v>2017</v>
      </c>
      <c r="I2908" s="2" t="inlineStr">
        <is>
          <t>$</t>
        </is>
      </c>
      <c r="J2908" s="2">
        <f>HYPERLINK("https://app.astro.lead-studio.pro/product/f5a43ceb-d7f7-4abb-be64-dcef6d0b8d4d")</f>
      </c>
    </row>
    <row r="2909" spans="1:10" customHeight="0">
      <c r="A2909" s="2" t="inlineStr">
        <is>
          <t>Источник бесперебойного питания</t>
        </is>
      </c>
      <c r="B2909" s="2" t="inlineStr">
        <is>
          <t>POWERCOM</t>
        </is>
      </c>
      <c r="C2909" s="2" t="inlineStr">
        <is>
          <t>SNT-1000</t>
        </is>
      </c>
      <c r="D2909" s="2" t="inlineStr">
        <is>
          <t>Источник бесперебойного питания Powercom Sentinel SNT-1000 1000Вт 1000ВА черный</t>
        </is>
      </c>
      <c r="E2909" s="2" t="inlineStr">
        <is>
          <t>+ </t>
        </is>
      </c>
      <c r="F2909" s="2" t="inlineStr">
        <is>
          <t>+ </t>
        </is>
      </c>
      <c r="H2909" s="2">
        <v>505</v>
      </c>
      <c r="I2909" s="2" t="inlineStr">
        <is>
          <t>$</t>
        </is>
      </c>
      <c r="J2909" s="2">
        <f>HYPERLINK("https://app.astro.lead-studio.pro/product/a9e1a1ee-f9d1-4e5a-93a6-9d911d6a0395")</f>
      </c>
    </row>
    <row r="2910" spans="1:10" customHeight="0">
      <c r="A2910" s="2" t="inlineStr">
        <is>
          <t>Источник бесперебойного питания</t>
        </is>
      </c>
      <c r="B2910" s="2" t="inlineStr">
        <is>
          <t>POWERCOM</t>
        </is>
      </c>
      <c r="C2910" s="2" t="inlineStr">
        <is>
          <t>SPR-2000 LCD</t>
        </is>
      </c>
      <c r="D2910" s="2" t="inlineStr">
        <is>
          <t>Источник бесперебойного питания Powercom Smart King Pro+ SPR-2000 LCD 1600Вт 2000ВА черный</t>
        </is>
      </c>
      <c r="E2910" s="2" t="inlineStr">
        <is>
          <t>+ </t>
        </is>
      </c>
      <c r="F2910" s="2" t="inlineStr">
        <is>
          <t>+ </t>
        </is>
      </c>
      <c r="H2910" s="2">
        <v>444</v>
      </c>
      <c r="I2910" s="2" t="inlineStr">
        <is>
          <t>$</t>
        </is>
      </c>
      <c r="J2910" s="2">
        <f>HYPERLINK("https://app.astro.lead-studio.pro/product/7646e65a-3859-4c89-9e28-47976d1bebf1")</f>
      </c>
    </row>
    <row r="2911" spans="1:10" customHeight="0">
      <c r="A2911" s="2" t="inlineStr">
        <is>
          <t>Источник бесперебойного питания</t>
        </is>
      </c>
      <c r="B2911" s="2" t="inlineStr">
        <is>
          <t>POWERCOM</t>
        </is>
      </c>
      <c r="C2911" s="2" t="inlineStr">
        <is>
          <t>SPT-3000-II LCD</t>
        </is>
      </c>
      <c r="D2911" s="2" t="inlineStr">
        <is>
          <t>Источник бесперебойного питания Powercom Smart King Pro+ SPT-3000-II LCD 2400Вт 3000ВА черный</t>
        </is>
      </c>
      <c r="E2911" s="2" t="inlineStr">
        <is>
          <t>+ </t>
        </is>
      </c>
      <c r="F2911" s="2" t="inlineStr">
        <is>
          <t>+ </t>
        </is>
      </c>
      <c r="H2911" s="2">
        <v>496</v>
      </c>
      <c r="I2911" s="2" t="inlineStr">
        <is>
          <t>$</t>
        </is>
      </c>
      <c r="J2911" s="2">
        <f>HYPERLINK("https://app.astro.lead-studio.pro/product/015d2dc0-9d6e-4da4-aef8-9730fd5e215e")</f>
      </c>
    </row>
    <row r="2912" spans="1:10" customHeight="0">
      <c r="A2912" s="2" t="inlineStr">
        <is>
          <t>Источник бесперебойного питания</t>
        </is>
      </c>
      <c r="B2912" s="2" t="inlineStr">
        <is>
          <t>POWERCOM</t>
        </is>
      </c>
      <c r="C2912" s="2" t="inlineStr">
        <is>
          <t>SRT-1000A LCD</t>
        </is>
      </c>
      <c r="D2912" s="2" t="inlineStr">
        <is>
          <t>Источник бесперебойного питания Powercom Smart King RT SRT-1000A LCD 900Вт 1000ВА черный</t>
        </is>
      </c>
      <c r="E2912" s="2" t="inlineStr">
        <is>
          <t>+ </t>
        </is>
      </c>
      <c r="F2912" s="2" t="inlineStr">
        <is>
          <t>+ </t>
        </is>
      </c>
      <c r="H2912" s="2">
        <v>385</v>
      </c>
      <c r="I2912" s="2" t="inlineStr">
        <is>
          <t>$</t>
        </is>
      </c>
      <c r="J2912" s="2">
        <f>HYPERLINK("https://app.astro.lead-studio.pro/product/048d38a6-4c80-438a-bb66-a7b57874779c")</f>
      </c>
    </row>
    <row r="2913" spans="1:10" customHeight="0">
      <c r="A2913" s="2" t="inlineStr">
        <is>
          <t>Источник бесперебойного питания</t>
        </is>
      </c>
      <c r="B2913" s="2" t="inlineStr">
        <is>
          <t>POWERCOM</t>
        </is>
      </c>
      <c r="C2913" s="2" t="inlineStr">
        <is>
          <t>SRT-1500A LCD</t>
        </is>
      </c>
      <c r="D2913" s="2" t="inlineStr">
        <is>
          <t>Источник бесперебойного питания Powercom Smart King RT SRT-1500A LCD 1350Вт 1500ВА черный</t>
        </is>
      </c>
      <c r="E2913" s="2" t="inlineStr">
        <is>
          <t>+ </t>
        </is>
      </c>
      <c r="F2913" s="2" t="inlineStr">
        <is>
          <t>+ </t>
        </is>
      </c>
      <c r="H2913" s="2">
        <v>499</v>
      </c>
      <c r="I2913" s="2" t="inlineStr">
        <is>
          <t>$</t>
        </is>
      </c>
      <c r="J2913" s="2">
        <f>HYPERLINK("https://app.astro.lead-studio.pro/product/9680616d-5b27-4729-8fed-b38fff0e5758")</f>
      </c>
    </row>
    <row r="2914" spans="1:10" customHeight="0">
      <c r="A2914" s="2" t="inlineStr">
        <is>
          <t>Источник бесперебойного питания</t>
        </is>
      </c>
      <c r="B2914" s="2" t="inlineStr">
        <is>
          <t>POWERCOM</t>
        </is>
      </c>
      <c r="C2914" s="2" t="inlineStr">
        <is>
          <t>SRT-2000A LCD</t>
        </is>
      </c>
      <c r="D2914" s="2" t="inlineStr">
        <is>
          <t>Источник бесперебойного питания Powercom Smart King RT SRT-2000A LCD 1800Вт 2000ВА черный</t>
        </is>
      </c>
      <c r="E2914" s="2" t="inlineStr">
        <is>
          <t>+ </t>
        </is>
      </c>
      <c r="F2914" s="2" t="inlineStr">
        <is>
          <t>+ </t>
        </is>
      </c>
      <c r="H2914" s="2">
        <v>598</v>
      </c>
      <c r="I2914" s="2" t="inlineStr">
        <is>
          <t>$</t>
        </is>
      </c>
      <c r="J2914" s="2">
        <f>HYPERLINK("https://app.astro.lead-studio.pro/product/82664cd3-23da-4a0c-bf9c-5f5e1ae2553b")</f>
      </c>
    </row>
    <row r="2915" spans="1:10" customHeight="0">
      <c r="A2915" s="2" t="inlineStr">
        <is>
          <t>Источник бесперебойного питания</t>
        </is>
      </c>
      <c r="B2915" s="2" t="inlineStr">
        <is>
          <t>SMARTWATT</t>
        </is>
      </c>
      <c r="C2915" s="2" t="inlineStr">
        <is>
          <t>3703020030002</t>
        </is>
      </c>
      <c r="D2915" s="2" t="inlineStr">
        <is>
          <t>Источник бесперебойного питания Smartwatt DATA 1.5kVA 1200Вт 1500ВА черный</t>
        </is>
      </c>
      <c r="E2915" s="2" t="inlineStr">
        <is>
          <t>+ </t>
        </is>
      </c>
      <c r="F2915" s="2" t="inlineStr">
        <is>
          <t>+ </t>
        </is>
      </c>
      <c r="H2915" s="2">
        <v>407</v>
      </c>
      <c r="I2915" s="2" t="inlineStr">
        <is>
          <t>$</t>
        </is>
      </c>
      <c r="J2915" s="2">
        <f>HYPERLINK("https://app.astro.lead-studio.pro/product/9cffd4e6-d1b1-4962-a7bb-af7400ac2415")</f>
      </c>
    </row>
    <row r="2916" spans="1:10" customHeight="0">
      <c r="A2916" s="2" t="inlineStr">
        <is>
          <t>Источник бесперебойного питания</t>
        </is>
      </c>
      <c r="B2916" s="2" t="inlineStr">
        <is>
          <t>SMARTWATT</t>
        </is>
      </c>
      <c r="C2916" s="2" t="inlineStr">
        <is>
          <t>3703020030001</t>
        </is>
      </c>
      <c r="D2916" s="2" t="inlineStr">
        <is>
          <t>Источник бесперебойного питания Smartwatt DATA 2kVA 1600Вт 2000ВА черный</t>
        </is>
      </c>
      <c r="E2916" s="2" t="inlineStr">
        <is>
          <t>+ </t>
        </is>
      </c>
      <c r="F2916" s="2" t="inlineStr">
        <is>
          <t>+ </t>
        </is>
      </c>
      <c r="H2916" s="2">
        <v>382</v>
      </c>
      <c r="I2916" s="2" t="inlineStr">
        <is>
          <t>$</t>
        </is>
      </c>
      <c r="J2916" s="2">
        <f>HYPERLINK("https://app.astro.lead-studio.pro/product/4c05d249-cb39-41ea-b594-df4943ae3905")</f>
      </c>
    </row>
    <row r="2917" spans="1:10" customHeight="0">
      <c r="A2917" s="2" t="inlineStr">
        <is>
          <t>Источник бесперебойного питания</t>
        </is>
      </c>
      <c r="B2917" s="2" t="inlineStr">
        <is>
          <t>SMARTWATT</t>
        </is>
      </c>
      <c r="C2917" s="2" t="inlineStr">
        <is>
          <t>3703020040004</t>
        </is>
      </c>
      <c r="D2917" s="2" t="inlineStr">
        <is>
          <t>Источник бесперебойного питания Smartwatt DATA PRO COMBO 1kVA 900Вт 1000ВА черный</t>
        </is>
      </c>
      <c r="E2917" s="2" t="inlineStr">
        <is>
          <t>+ </t>
        </is>
      </c>
      <c r="F2917" s="2" t="inlineStr">
        <is>
          <t>+ </t>
        </is>
      </c>
      <c r="H2917" s="2">
        <v>474</v>
      </c>
      <c r="I2917" s="2" t="inlineStr">
        <is>
          <t>$</t>
        </is>
      </c>
      <c r="J2917" s="2">
        <f>HYPERLINK("https://app.astro.lead-studio.pro/product/2beeeea6-76a2-42aa-a59e-de1010710f98")</f>
      </c>
    </row>
    <row r="2918" spans="1:10" customHeight="0">
      <c r="A2918" s="2" t="inlineStr">
        <is>
          <t>Источник бесперебойного питания</t>
        </is>
      </c>
      <c r="B2918" s="2" t="inlineStr">
        <is>
          <t>SMARTWATT</t>
        </is>
      </c>
      <c r="C2918" s="2" t="inlineStr">
        <is>
          <t>3703020040005</t>
        </is>
      </c>
      <c r="D2918" s="2" t="inlineStr">
        <is>
          <t>Источник бесперебойного питания Smartwatt DATA PRO COMBO 2kVA 1800Вт 2000ВА черный</t>
        </is>
      </c>
      <c r="E2918" s="2" t="inlineStr">
        <is>
          <t>+ </t>
        </is>
      </c>
      <c r="F2918" s="2" t="inlineStr">
        <is>
          <t>+ </t>
        </is>
      </c>
      <c r="H2918" s="2">
        <v>596</v>
      </c>
      <c r="I2918" s="2" t="inlineStr">
        <is>
          <t>$</t>
        </is>
      </c>
      <c r="J2918" s="2">
        <f>HYPERLINK("https://app.astro.lead-studio.pro/product/3f4cc0a0-8f90-4172-b0d6-2dc26625f61d")</f>
      </c>
    </row>
    <row r="2919" spans="1:10" customHeight="0">
      <c r="A2919" s="2" t="inlineStr">
        <is>
          <t>Источник бесперебойного питания</t>
        </is>
      </c>
      <c r="B2919" s="2" t="inlineStr">
        <is>
          <t>SMARTWATT</t>
        </is>
      </c>
      <c r="C2919" s="2" t="inlineStr">
        <is>
          <t>3703020040008</t>
        </is>
      </c>
      <c r="D2919" s="2" t="inlineStr">
        <is>
          <t>Источник бесперебойного питания Smartwatt DATA PRO COMBO 3kVA 2700Вт 3000ВА черный</t>
        </is>
      </c>
      <c r="E2919" s="2" t="inlineStr">
        <is>
          <t>+ </t>
        </is>
      </c>
      <c r="F2919" s="2" t="inlineStr">
        <is>
          <t>+ </t>
        </is>
      </c>
      <c r="H2919" s="2">
        <v>624</v>
      </c>
      <c r="I2919" s="2" t="inlineStr">
        <is>
          <t>$</t>
        </is>
      </c>
      <c r="J2919" s="2">
        <f>HYPERLINK("https://app.astro.lead-studio.pro/product/61d248e7-daee-41fb-ae95-055409d12de0")</f>
      </c>
    </row>
    <row r="2920" spans="1:10" customHeight="0">
      <c r="A2920" s="2" t="inlineStr">
        <is>
          <t>Источник бесперебойного питания</t>
        </is>
      </c>
      <c r="B2920" s="2" t="inlineStr">
        <is>
          <t>SMARTWATT</t>
        </is>
      </c>
      <c r="C2920" s="2" t="inlineStr">
        <is>
          <t>3703020040006</t>
        </is>
      </c>
      <c r="D2920" s="2" t="inlineStr">
        <is>
          <t>Источник бесперебойного питания Smartwatt DATA PRO IEC 1kVA 900Вт 1000ВА черный</t>
        </is>
      </c>
      <c r="E2920" s="2" t="inlineStr">
        <is>
          <t>+ </t>
        </is>
      </c>
      <c r="F2920" s="2" t="inlineStr">
        <is>
          <t>+ </t>
        </is>
      </c>
      <c r="H2920" s="2">
        <v>471</v>
      </c>
      <c r="I2920" s="2" t="inlineStr">
        <is>
          <t>$</t>
        </is>
      </c>
      <c r="J2920" s="2">
        <f>HYPERLINK("https://app.astro.lead-studio.pro/product/d0194d64-d7e0-456d-b917-36848b388dc4")</f>
      </c>
    </row>
    <row r="2921" spans="1:10" customHeight="0">
      <c r="A2921" s="2" t="inlineStr">
        <is>
          <t>Источник бесперебойного питания</t>
        </is>
      </c>
      <c r="B2921" s="2" t="inlineStr">
        <is>
          <t>SMARTWATT</t>
        </is>
      </c>
      <c r="C2921" s="2" t="inlineStr">
        <is>
          <t>3703020040009</t>
        </is>
      </c>
      <c r="D2921" s="2" t="inlineStr">
        <is>
          <t>Источник бесперебойного питания Smartwatt DATA PRO IEC 2kVA 1800Вт 2000ВА черный</t>
        </is>
      </c>
      <c r="E2921" s="2" t="inlineStr">
        <is>
          <t>+ </t>
        </is>
      </c>
      <c r="F2921" s="2" t="inlineStr">
        <is>
          <t>+ </t>
        </is>
      </c>
      <c r="H2921" s="2">
        <v>595</v>
      </c>
      <c r="I2921" s="2" t="inlineStr">
        <is>
          <t>$</t>
        </is>
      </c>
      <c r="J2921" s="2">
        <f>HYPERLINK("https://app.astro.lead-studio.pro/product/7f7c3a3d-01e0-4cfb-920e-6efb11296ed4")</f>
      </c>
    </row>
    <row r="2922" spans="1:10" customHeight="0">
      <c r="A2922" s="2" t="inlineStr">
        <is>
          <t>Источник бесперебойного питания</t>
        </is>
      </c>
      <c r="B2922" s="2" t="inlineStr">
        <is>
          <t>SMARTWATT</t>
        </is>
      </c>
      <c r="C2922" s="2" t="inlineStr">
        <is>
          <t>3703020040007</t>
        </is>
      </c>
      <c r="D2922" s="2" t="inlineStr">
        <is>
          <t>Источник бесперебойного питания Smartwatt DATA PRO IEC 3kVA 2700Вт 3000ВА черный</t>
        </is>
      </c>
      <c r="E2922" s="2" t="inlineStr">
        <is>
          <t>+ </t>
        </is>
      </c>
      <c r="F2922" s="2" t="inlineStr">
        <is>
          <t>+ </t>
        </is>
      </c>
      <c r="H2922" s="2">
        <v>740</v>
      </c>
      <c r="I2922" s="2" t="inlineStr">
        <is>
          <t>$</t>
        </is>
      </c>
      <c r="J2922" s="2">
        <f>HYPERLINK("https://app.astro.lead-studio.pro/product/fbbb39a6-ac50-42f1-8897-5b44614de5d2")</f>
      </c>
    </row>
    <row r="2923" spans="1:10" customHeight="0">
      <c r="A2923" s="2" t="inlineStr">
        <is>
          <t>Источник бесперебойного питания</t>
        </is>
      </c>
      <c r="B2923" s="2" t="inlineStr">
        <is>
          <t>SMARTWATT</t>
        </is>
      </c>
      <c r="C2923" s="2" t="inlineStr">
        <is>
          <t>3703020430001</t>
        </is>
      </c>
      <c r="D2923" s="2" t="inlineStr">
        <is>
          <t>Источник бесперебойного питания Smartwatt XPERT 1kVA 900Вт 1000ВА черный</t>
        </is>
      </c>
      <c r="E2923" s="2" t="inlineStr">
        <is>
          <t>+ </t>
        </is>
      </c>
      <c r="F2923" s="2" t="inlineStr">
        <is>
          <t>+ </t>
        </is>
      </c>
      <c r="H2923" s="2">
        <v>331</v>
      </c>
      <c r="I2923" s="2" t="inlineStr">
        <is>
          <t>$</t>
        </is>
      </c>
      <c r="J2923" s="2">
        <f>HYPERLINK("https://app.astro.lead-studio.pro/product/baa7ce25-f492-4728-913d-15563d68ecb2")</f>
      </c>
    </row>
    <row r="2924" spans="1:10" customHeight="0">
      <c r="A2924" s="2" t="inlineStr">
        <is>
          <t>Источник бесперебойного питания</t>
        </is>
      </c>
      <c r="B2924" s="2" t="inlineStr">
        <is>
          <t>SMARTWATT</t>
        </is>
      </c>
      <c r="C2924" s="2" t="inlineStr">
        <is>
          <t>3703020430003</t>
        </is>
      </c>
      <c r="D2924" s="2" t="inlineStr">
        <is>
          <t>Источник бесперебойного питания Smartwatt XPERT 2kVA 1800Вт 2000ВА черный</t>
        </is>
      </c>
      <c r="E2924" s="2" t="inlineStr">
        <is>
          <t>+ </t>
        </is>
      </c>
      <c r="F2924" s="2" t="inlineStr">
        <is>
          <t>+ </t>
        </is>
      </c>
      <c r="H2924" s="2">
        <v>428</v>
      </c>
      <c r="I2924" s="2" t="inlineStr">
        <is>
          <t>$</t>
        </is>
      </c>
      <c r="J2924" s="2">
        <f>HYPERLINK("https://app.astro.lead-studio.pro/product/016a8dde-b697-4949-a42c-6584325df7f1")</f>
      </c>
    </row>
    <row r="2925" spans="1:10" customHeight="0">
      <c r="A2925" s="2" t="inlineStr">
        <is>
          <t>Источник бесперебойного питания</t>
        </is>
      </c>
      <c r="B2925" s="2" t="inlineStr">
        <is>
          <t>SMARTWATT</t>
        </is>
      </c>
      <c r="C2925" s="2" t="inlineStr">
        <is>
          <t>3703020430002</t>
        </is>
      </c>
      <c r="D2925" s="2" t="inlineStr">
        <is>
          <t>Источник бесперебойного питания Smartwatt XPERT 3kVA 2700Вт 3000ВА черный</t>
        </is>
      </c>
      <c r="E2925" s="2" t="inlineStr">
        <is>
          <t>+ </t>
        </is>
      </c>
      <c r="F2925" s="2" t="inlineStr">
        <is>
          <t>+ </t>
        </is>
      </c>
      <c r="H2925" s="2">
        <v>522</v>
      </c>
      <c r="I2925" s="2" t="inlineStr">
        <is>
          <t>$</t>
        </is>
      </c>
      <c r="J2925" s="2">
        <f>HYPERLINK("https://app.astro.lead-studio.pro/product/b832f9b0-eb5f-4aca-aa80-9a123b03d980")</f>
      </c>
    </row>
    <row r="2926" spans="1:10" customHeight="0">
      <c r="A2926" s="2" t="inlineStr">
        <is>
          <t>Источник бесперебойного питания</t>
        </is>
      </c>
      <c r="B2926" s="2" t="inlineStr">
        <is>
          <t>SMARTWATT</t>
        </is>
      </c>
      <c r="C2926" s="2" t="inlineStr">
        <is>
          <t>3703020430005</t>
        </is>
      </c>
      <c r="D2926" s="2" t="inlineStr">
        <is>
          <t>Источник бесперебойного питания Smartwatt XPERT COMBO 2kVA 1800Вт 2000ВА черный</t>
        </is>
      </c>
      <c r="E2926" s="2" t="inlineStr">
        <is>
          <t>+ </t>
        </is>
      </c>
      <c r="F2926" s="2" t="inlineStr">
        <is>
          <t>+ </t>
        </is>
      </c>
      <c r="H2926" s="2">
        <v>428</v>
      </c>
      <c r="I2926" s="2" t="inlineStr">
        <is>
          <t>$</t>
        </is>
      </c>
      <c r="J2926" s="2">
        <f>HYPERLINK("https://app.astro.lead-studio.pro/product/8cf33954-bbba-4b06-9208-babd19ec74c0")</f>
      </c>
    </row>
    <row r="2927" spans="1:10" customHeight="0">
      <c r="A2927" s="2" t="inlineStr">
        <is>
          <t>Источник бесперебойного питания</t>
        </is>
      </c>
      <c r="B2927" s="2" t="inlineStr">
        <is>
          <t>SMARTWATT</t>
        </is>
      </c>
      <c r="C2927" s="2" t="inlineStr">
        <is>
          <t>3703020430006</t>
        </is>
      </c>
      <c r="D2927" s="2" t="inlineStr">
        <is>
          <t>Источник бесперебойного питания Smartwatt XPERT COMBO 3kVA 2700Вт 3000ВА черный</t>
        </is>
      </c>
      <c r="E2927" s="2" t="inlineStr">
        <is>
          <t>+ </t>
        </is>
      </c>
      <c r="F2927" s="2" t="inlineStr">
        <is>
          <t>+ </t>
        </is>
      </c>
      <c r="H2927" s="2">
        <v>515</v>
      </c>
      <c r="I2927" s="2" t="inlineStr">
        <is>
          <t>$</t>
        </is>
      </c>
      <c r="J2927" s="2">
        <f>HYPERLINK("https://app.astro.lead-studio.pro/product/74ee52a5-5130-4d73-983f-767476b96ab9")</f>
      </c>
    </row>
    <row r="2928" spans="1:10" customHeight="0">
      <c r="A2928" s="2" t="inlineStr">
        <is>
          <t>Источник бесперебойного питания</t>
        </is>
      </c>
      <c r="B2928" s="2" t="inlineStr">
        <is>
          <t>SMARTWATT</t>
        </is>
      </c>
      <c r="C2928" s="2" t="inlineStr">
        <is>
          <t>3703020440001</t>
        </is>
      </c>
      <c r="D2928" s="2" t="inlineStr">
        <is>
          <t>Источник бесперебойного питания Smartwatt XPERT EURO 1kVA 900Вт 1000ВА черный</t>
        </is>
      </c>
      <c r="E2928" s="2" t="inlineStr">
        <is>
          <t>+ </t>
        </is>
      </c>
      <c r="F2928" s="2" t="inlineStr">
        <is>
          <t>+ </t>
        </is>
      </c>
      <c r="H2928" s="2">
        <v>316</v>
      </c>
      <c r="I2928" s="2" t="inlineStr">
        <is>
          <t>$</t>
        </is>
      </c>
      <c r="J2928" s="2">
        <f>HYPERLINK("https://app.astro.lead-studio.pro/product/900d497a-bbaf-4639-b197-e1556b209ce6")</f>
      </c>
    </row>
    <row r="2929" spans="1:10" customHeight="0">
      <c r="A2929" s="2" t="inlineStr">
        <is>
          <t>Источник бесперебойного питания</t>
        </is>
      </c>
      <c r="B2929" s="2" t="inlineStr">
        <is>
          <t>SMARTWATT</t>
        </is>
      </c>
      <c r="C2929" s="2" t="inlineStr">
        <is>
          <t>3703020440002</t>
        </is>
      </c>
      <c r="D2929" s="2" t="inlineStr">
        <is>
          <t>Источник бесперебойного питания Smartwatt XPERT EURO 2kVA 1800Вт 2000ВА черный</t>
        </is>
      </c>
      <c r="E2929" s="2" t="inlineStr">
        <is>
          <t>+ </t>
        </is>
      </c>
      <c r="F2929" s="2" t="inlineStr">
        <is>
          <t>+ </t>
        </is>
      </c>
      <c r="H2929" s="2">
        <v>404</v>
      </c>
      <c r="I2929" s="2" t="inlineStr">
        <is>
          <t>$</t>
        </is>
      </c>
      <c r="J2929" s="2">
        <f>HYPERLINK("https://app.astro.lead-studio.pro/product/3f9e7c55-aca9-4c3e-be4a-1c60b3377d9d")</f>
      </c>
    </row>
    <row r="2930" spans="1:10" customHeight="0">
      <c r="A2930" s="2" t="inlineStr">
        <is>
          <t>Источник бесперебойного питания</t>
        </is>
      </c>
      <c r="B2930" s="2" t="inlineStr">
        <is>
          <t>SMARTWATT</t>
        </is>
      </c>
      <c r="C2930" s="2" t="inlineStr">
        <is>
          <t>3703020440003</t>
        </is>
      </c>
      <c r="D2930" s="2" t="inlineStr">
        <is>
          <t>Источник бесперебойного питания Smartwatt XPERT EURO 3kVA 2700Вт 3000ВА черный</t>
        </is>
      </c>
      <c r="E2930" s="2" t="inlineStr">
        <is>
          <t>+ </t>
        </is>
      </c>
      <c r="F2930" s="2" t="inlineStr">
        <is>
          <t>+ </t>
        </is>
      </c>
      <c r="H2930" s="2">
        <v>604</v>
      </c>
      <c r="I2930" s="2" t="inlineStr">
        <is>
          <t>$</t>
        </is>
      </c>
      <c r="J2930" s="2">
        <f>HYPERLINK("https://app.astro.lead-studio.pro/product/64a0a653-5081-491b-90ea-60875b0febbd")</f>
      </c>
    </row>
    <row r="2931" spans="1:10" customHeight="0">
      <c r="A2931" s="2" t="inlineStr">
        <is>
          <t>Источник бесперебойного питания</t>
        </is>
      </c>
      <c r="B2931" s="2" t="inlineStr">
        <is>
          <t>SYSTEME ELECTRIC</t>
        </is>
      </c>
      <c r="C2931" s="2" t="inlineStr">
        <is>
          <t>SMTSE1000RMI2U</t>
        </is>
      </c>
      <c r="D2931" s="2" t="inlineStr">
        <is>
          <t>Источник бесперебойного питания Systeme Electriс SMT SMTSE1000RMI2U 720Вт 1000ВА черный</t>
        </is>
      </c>
      <c r="E2931" s="2" t="inlineStr">
        <is>
          <t>+ </t>
        </is>
      </c>
      <c r="F2931" s="2" t="inlineStr">
        <is>
          <t>+ </t>
        </is>
      </c>
      <c r="H2931" s="2">
        <v>359</v>
      </c>
      <c r="I2931" s="2" t="inlineStr">
        <is>
          <t>$</t>
        </is>
      </c>
      <c r="J2931" s="2">
        <f>HYPERLINK("https://app.astro.lead-studio.pro/product/1fabffc4-6e08-4199-90fc-0f2f1154b383")</f>
      </c>
    </row>
    <row r="2932" spans="1:10" customHeight="0">
      <c r="A2932" s="2" t="inlineStr">
        <is>
          <t>Источник бесперебойного питания</t>
        </is>
      </c>
      <c r="B2932" s="2" t="inlineStr">
        <is>
          <t>SYSTEME ELECTRIC</t>
        </is>
      </c>
      <c r="C2932" s="2" t="inlineStr">
        <is>
          <t>SMTSE3000RMI2U</t>
        </is>
      </c>
      <c r="D2932" s="2" t="inlineStr">
        <is>
          <t>Источник бесперебойного питания Systeme Electriс SMT SMTSE3000RMI2U 1800Вт 3000ВА черный</t>
        </is>
      </c>
      <c r="E2932" s="2" t="inlineStr">
        <is>
          <t>+ </t>
        </is>
      </c>
      <c r="F2932" s="2" t="inlineStr">
        <is>
          <t>+ </t>
        </is>
      </c>
      <c r="H2932" s="2">
        <v>561</v>
      </c>
      <c r="I2932" s="2" t="inlineStr">
        <is>
          <t>$</t>
        </is>
      </c>
      <c r="J2932" s="2">
        <f>HYPERLINK("https://app.astro.lead-studio.pro/product/d9d69b2c-6d39-433c-a353-ab8776fac3e5")</f>
      </c>
    </row>
    <row r="2933" spans="1:10" customHeight="0">
      <c r="A2933" s="2" t="inlineStr">
        <is>
          <t>Источник бесперебойного питания</t>
        </is>
      </c>
      <c r="B2933" s="2" t="inlineStr">
        <is>
          <t>SYSTEME ELECTRIC</t>
        </is>
      </c>
      <c r="C2933" s="2" t="inlineStr">
        <is>
          <t>SRTSE1000RTXLI</t>
        </is>
      </c>
      <c r="D2933" s="2" t="inlineStr">
        <is>
          <t>Источник бесперебойного питания Systeme Electriс SRT SRTSE1000RTXLI 1000Вт 1000ВА черный</t>
        </is>
      </c>
      <c r="E2933" s="2" t="inlineStr">
        <is>
          <t>+ </t>
        </is>
      </c>
      <c r="F2933" s="2" t="inlineStr">
        <is>
          <t>+ </t>
        </is>
      </c>
      <c r="H2933" s="2">
        <v>619</v>
      </c>
      <c r="I2933" s="2" t="inlineStr">
        <is>
          <t>$</t>
        </is>
      </c>
      <c r="J2933" s="2">
        <f>HYPERLINK("https://app.astro.lead-studio.pro/product/f9ab1524-520d-4d01-9870-ab3c4a108539")</f>
      </c>
    </row>
    <row r="2934" spans="1:10" customHeight="0">
      <c r="A2934" s="2" t="inlineStr">
        <is>
          <t>Источник бесперебойного питания</t>
        </is>
      </c>
      <c r="B2934" s="2" t="inlineStr">
        <is>
          <t>SYSTEME ELECTRIC</t>
        </is>
      </c>
      <c r="C2934" s="2" t="inlineStr">
        <is>
          <t>SRTSE1500RTXLI-NC</t>
        </is>
      </c>
      <c r="D2934" s="2" t="inlineStr">
        <is>
          <t>Источник бесперебойного питания Systeme Electriс SRT SRTSE1500RTXLI-NC 1500Вт 1500ВА черный</t>
        </is>
      </c>
      <c r="E2934" s="2" t="inlineStr">
        <is>
          <t>+ </t>
        </is>
      </c>
      <c r="F2934" s="2" t="inlineStr">
        <is>
          <t>+ </t>
        </is>
      </c>
      <c r="H2934" s="2">
        <v>977</v>
      </c>
      <c r="I2934" s="2" t="inlineStr">
        <is>
          <t>$</t>
        </is>
      </c>
      <c r="J2934" s="2">
        <f>HYPERLINK("https://app.astro.lead-studio.pro/product/58001d7b-fe2a-420e-b0ac-447209543869")</f>
      </c>
    </row>
    <row r="2935" spans="1:10" customHeight="0">
      <c r="A2935" s="2" t="inlineStr">
        <is>
          <t>Источник бесперебойного питания</t>
        </is>
      </c>
      <c r="B2935" s="2" t="inlineStr">
        <is>
          <t>SYSTEME ELECTRIC</t>
        </is>
      </c>
      <c r="C2935" s="2" t="inlineStr">
        <is>
          <t>SRTSE1500RTXLI</t>
        </is>
      </c>
      <c r="D2935" s="2" t="inlineStr">
        <is>
          <t>Источник бесперебойного питания Systeme Electriс SRT SRTSE1500RTXLI 1500Вт 1500ВА черный</t>
        </is>
      </c>
      <c r="E2935" s="2" t="inlineStr">
        <is>
          <t>+ </t>
        </is>
      </c>
      <c r="F2935" s="2" t="inlineStr">
        <is>
          <t>+ </t>
        </is>
      </c>
      <c r="H2935" s="2">
        <v>761</v>
      </c>
      <c r="I2935" s="2" t="inlineStr">
        <is>
          <t>$</t>
        </is>
      </c>
      <c r="J2935" s="2">
        <f>HYPERLINK("https://app.astro.lead-studio.pro/product/f3b85ee3-7578-469a-b0a9-2204ab5a2b84")</f>
      </c>
    </row>
    <row r="2936" spans="1:10" customHeight="0">
      <c r="A2936" s="2" t="inlineStr">
        <is>
          <t>Источник бесперебойного питания</t>
        </is>
      </c>
      <c r="B2936" s="2" t="inlineStr">
        <is>
          <t>SYSTEME ELECTRIC</t>
        </is>
      </c>
      <c r="C2936" s="2" t="inlineStr">
        <is>
          <t>SRTSE2000RTXLI</t>
        </is>
      </c>
      <c r="D2936" s="2" t="inlineStr">
        <is>
          <t>Источник бесперебойного питания Systeme Electriс SRT SRTSE2000RTXLI 2000Вт 2000ВА черный</t>
        </is>
      </c>
      <c r="E2936" s="2" t="inlineStr">
        <is>
          <t>+ </t>
        </is>
      </c>
      <c r="F2936" s="2" t="inlineStr">
        <is>
          <t>+ </t>
        </is>
      </c>
      <c r="H2936" s="2">
        <v>947</v>
      </c>
      <c r="I2936" s="2" t="inlineStr">
        <is>
          <t>$</t>
        </is>
      </c>
      <c r="J2936" s="2">
        <f>HYPERLINK("https://app.astro.lead-studio.pro/product/d99424e1-dd35-43fe-9285-1cf80ef4f228")</f>
      </c>
    </row>
    <row r="2937" spans="1:10" customHeight="0">
      <c r="A2937" s="2" t="inlineStr">
        <is>
          <t>Источник бесперебойного питания</t>
        </is>
      </c>
      <c r="B2937" s="2" t="inlineStr">
        <is>
          <t>SYSTEME ELECTRIC</t>
        </is>
      </c>
      <c r="C2937" s="2" t="inlineStr">
        <is>
          <t>SRTSE2000RTXLISH</t>
        </is>
      </c>
      <c r="D2937" s="2" t="inlineStr">
        <is>
          <t>Источник бесперебойного питания Systeme Electriс SRT SRTSE2000RTXLISH 2000Вт 2000ВА черный</t>
        </is>
      </c>
      <c r="E2937" s="2" t="inlineStr">
        <is>
          <t>+ </t>
        </is>
      </c>
      <c r="F2937" s="2" t="inlineStr">
        <is>
          <t>+ </t>
        </is>
      </c>
      <c r="H2937" s="2">
        <v>844</v>
      </c>
      <c r="I2937" s="2" t="inlineStr">
        <is>
          <t>$</t>
        </is>
      </c>
      <c r="J2937" s="2">
        <f>HYPERLINK("https://app.astro.lead-studio.pro/product/4b2a6f52-0b64-4b00-bde2-5514df689efc")</f>
      </c>
    </row>
    <row r="2938" spans="1:10" customHeight="0">
      <c r="A2938" s="2" t="inlineStr">
        <is>
          <t>Источник бесперебойного питания</t>
        </is>
      </c>
      <c r="B2938" s="2" t="inlineStr">
        <is>
          <t>SYSTEME ELECTRIC</t>
        </is>
      </c>
      <c r="C2938" s="2" t="inlineStr">
        <is>
          <t>SRTSE3000RTXLI</t>
        </is>
      </c>
      <c r="D2938" s="2" t="inlineStr">
        <is>
          <t>Источник бесперебойного питания Systeme Electriс SRT SRTSE3000RTXLI 3000Вт 3000ВА черный</t>
        </is>
      </c>
      <c r="E2938" s="2" t="inlineStr">
        <is>
          <t>+ </t>
        </is>
      </c>
      <c r="F2938" s="2" t="inlineStr">
        <is>
          <t>+ </t>
        </is>
      </c>
      <c r="H2938" s="2">
        <v>1131</v>
      </c>
      <c r="I2938" s="2" t="inlineStr">
        <is>
          <t>$</t>
        </is>
      </c>
      <c r="J2938" s="2">
        <f>HYPERLINK("https://app.astro.lead-studio.pro/product/472f7a3b-0a55-458f-bc7e-aeff759a9b24")</f>
      </c>
    </row>
    <row r="2939" spans="1:10" customHeight="0">
      <c r="A2939" s="2" t="inlineStr">
        <is>
          <t>Источник бесперебойного питания</t>
        </is>
      </c>
      <c r="B2939" s="2" t="inlineStr">
        <is>
          <t>SYSTEME ELECTRIC</t>
        </is>
      </c>
      <c r="C2939" s="2" t="inlineStr">
        <is>
          <t>SRTSE5KRTXLI-NC</t>
        </is>
      </c>
      <c r="D2939" s="2" t="inlineStr">
        <is>
          <t>Источник бесперебойного питания Systeme Electriс SRT SRTSE5KRTXLI-NC 5000Вт 5000ВА черный</t>
        </is>
      </c>
      <c r="E2939" s="2" t="inlineStr">
        <is>
          <t>+ </t>
        </is>
      </c>
      <c r="F2939" s="2" t="inlineStr">
        <is>
          <t>+ </t>
        </is>
      </c>
      <c r="H2939" s="2">
        <v>2720</v>
      </c>
      <c r="I2939" s="2" t="inlineStr">
        <is>
          <t>$</t>
        </is>
      </c>
      <c r="J2939" s="2">
        <f>HYPERLINK("https://app.astro.lead-studio.pro/product/71fb6990-487f-4389-bae9-cc5d94a99b23")</f>
      </c>
    </row>
    <row r="2940" spans="1:10" customHeight="0">
      <c r="A2940" s="2" t="inlineStr">
        <is>
          <t>Источник бесперебойного питания</t>
        </is>
      </c>
      <c r="B2940" s="2" t="inlineStr">
        <is>
          <t>SYSTEME ELECTRIC</t>
        </is>
      </c>
      <c r="C2940" s="2" t="inlineStr">
        <is>
          <t>SRTSE5KRTXLIEC-NC</t>
        </is>
      </c>
      <c r="D2940" s="2" t="inlineStr">
        <is>
          <t>Источник бесперебойного питания Systeme Electriс SRT SRTSE5KRTXLIEC-NC 5000Вт 5000ВА черный</t>
        </is>
      </c>
      <c r="E2940" s="2" t="inlineStr">
        <is>
          <t>+ </t>
        </is>
      </c>
      <c r="F2940" s="2" t="inlineStr">
        <is>
          <t>+ </t>
        </is>
      </c>
      <c r="H2940" s="2">
        <v>4022</v>
      </c>
      <c r="I2940" s="2" t="inlineStr">
        <is>
          <t>$</t>
        </is>
      </c>
      <c r="J2940" s="2">
        <f>HYPERLINK("https://app.astro.lead-studio.pro/product/60419241-a4f8-49e6-8983-a767ba81aeb6")</f>
      </c>
    </row>
    <row r="2941" spans="1:10" customHeight="0">
      <c r="A2941" s="2" t="inlineStr">
        <is>
          <t>Источник бесперебойного питания</t>
        </is>
      </c>
      <c r="B2941" s="2" t="inlineStr">
        <is>
          <t>SYSTEME ELECTRIC</t>
        </is>
      </c>
      <c r="C2941" s="2" t="inlineStr">
        <is>
          <t>SRTSE6KRTXLIEC-NC</t>
        </is>
      </c>
      <c r="D2941" s="2" t="inlineStr">
        <is>
          <t>Источник бесперебойного питания Systeme Electriс SRT SRTSE6KRTXLIEC-NC 6000Вт 6000ВА черный</t>
        </is>
      </c>
      <c r="E2941" s="2" t="inlineStr">
        <is>
          <t>+ </t>
        </is>
      </c>
      <c r="F2941" s="2" t="inlineStr">
        <is>
          <t>+ </t>
        </is>
      </c>
      <c r="H2941" s="2">
        <v>4309</v>
      </c>
      <c r="I2941" s="2" t="inlineStr">
        <is>
          <t>$</t>
        </is>
      </c>
      <c r="J2941" s="2">
        <f>HYPERLINK("https://app.astro.lead-studio.pro/product/2f5f3cab-ab4c-4a15-bfdf-b598c0eef6d4")</f>
      </c>
    </row>
    <row r="2942" spans="1:10" customHeight="0">
      <c r="A2942" s="2" t="inlineStr">
        <is>
          <t>Источник бесперебойного питания</t>
        </is>
      </c>
      <c r="B2942" s="2" t="inlineStr">
        <is>
          <t>SYSTEME ELECTRIC</t>
        </is>
      </c>
      <c r="C2942" s="2" t="inlineStr">
        <is>
          <t>SRVSE10KRTXLI6U</t>
        </is>
      </c>
      <c r="D2942" s="2" t="inlineStr">
        <is>
          <t>Источник бесперебойного питания Systeme Electriс SRV SRVSE10KRTXLI6U 9000Вт 10000ВА черный</t>
        </is>
      </c>
      <c r="E2942" s="2" t="inlineStr">
        <is>
          <t>+ </t>
        </is>
      </c>
      <c r="F2942" s="2" t="inlineStr">
        <is>
          <t>+ </t>
        </is>
      </c>
      <c r="H2942" s="2">
        <v>2618</v>
      </c>
      <c r="I2942" s="2" t="inlineStr">
        <is>
          <t>$</t>
        </is>
      </c>
      <c r="J2942" s="2">
        <f>HYPERLINK("https://app.astro.lead-studio.pro/product/349cc181-6de9-41e0-b748-db8bb488db2b")</f>
      </c>
    </row>
    <row r="2943" spans="1:10" customHeight="0">
      <c r="A2943" s="2" t="inlineStr">
        <is>
          <t>Источник бесперебойного питания</t>
        </is>
      </c>
      <c r="B2943" s="2" t="inlineStr">
        <is>
          <t>SYSTEME ELECTRIC</t>
        </is>
      </c>
      <c r="C2943" s="2" t="inlineStr">
        <is>
          <t>SRVSE1KRTI</t>
        </is>
      </c>
      <c r="D2943" s="2" t="inlineStr">
        <is>
          <t>Источник бесперебойного питания Systeme Electriс SRV SRVSE1KRTI 900Вт 1000ВА черный</t>
        </is>
      </c>
      <c r="E2943" s="2" t="inlineStr">
        <is>
          <t>+ </t>
        </is>
      </c>
      <c r="F2943" s="2" t="inlineStr">
        <is>
          <t>+ </t>
        </is>
      </c>
      <c r="H2943" s="2">
        <v>474</v>
      </c>
      <c r="I2943" s="2" t="inlineStr">
        <is>
          <t>$</t>
        </is>
      </c>
      <c r="J2943" s="2">
        <f>HYPERLINK("https://app.astro.lead-studio.pro/product/98828beb-2646-485a-8f0b-80993d89d403")</f>
      </c>
    </row>
    <row r="2944" spans="1:10" customHeight="0">
      <c r="A2944" s="2" t="inlineStr">
        <is>
          <t>Источник бесперебойного питания</t>
        </is>
      </c>
      <c r="B2944" s="2" t="inlineStr">
        <is>
          <t>SYSTEME ELECTRIC</t>
        </is>
      </c>
      <c r="C2944" s="2" t="inlineStr">
        <is>
          <t>SRVSE1KRTXLI</t>
        </is>
      </c>
      <c r="D2944" s="2" t="inlineStr">
        <is>
          <t>Источник бесперебойного питания Systeme Electriс SRV SRVSE1KRTXLI 900Вт 1000ВА черный</t>
        </is>
      </c>
      <c r="E2944" s="2" t="inlineStr">
        <is>
          <t>+ </t>
        </is>
      </c>
      <c r="F2944" s="2" t="inlineStr">
        <is>
          <t>+ </t>
        </is>
      </c>
      <c r="H2944" s="2">
        <v>726</v>
      </c>
      <c r="I2944" s="2" t="inlineStr">
        <is>
          <t>$</t>
        </is>
      </c>
      <c r="J2944" s="2">
        <f>HYPERLINK("https://app.astro.lead-studio.pro/product/753214e3-2270-4f01-865f-2d41c947cafe")</f>
      </c>
    </row>
    <row r="2945" spans="1:10" customHeight="0">
      <c r="A2945" s="2" t="inlineStr">
        <is>
          <t>Источник бесперебойного питания</t>
        </is>
      </c>
      <c r="B2945" s="2" t="inlineStr">
        <is>
          <t>SYSTEME ELECTRIC</t>
        </is>
      </c>
      <c r="C2945" s="2" t="inlineStr">
        <is>
          <t>SRVSE2KRTI</t>
        </is>
      </c>
      <c r="D2945" s="2" t="inlineStr">
        <is>
          <t>Источник бесперебойного питания Systeme Electriс SRV SRVSE2KRTI 1800Вт 2000ВА черный</t>
        </is>
      </c>
      <c r="E2945" s="2" t="inlineStr">
        <is>
          <t>+ </t>
        </is>
      </c>
      <c r="F2945" s="2" t="inlineStr">
        <is>
          <t>+ </t>
        </is>
      </c>
      <c r="H2945" s="2">
        <v>705</v>
      </c>
      <c r="I2945" s="2" t="inlineStr">
        <is>
          <t>$</t>
        </is>
      </c>
      <c r="J2945" s="2">
        <f>HYPERLINK("https://app.astro.lead-studio.pro/product/1cb0bb5e-07f4-4208-a0df-ff3f0cfd2bda")</f>
      </c>
    </row>
    <row r="2946" spans="1:10" customHeight="0">
      <c r="A2946" s="2" t="inlineStr">
        <is>
          <t>Источник бесперебойного питания</t>
        </is>
      </c>
      <c r="B2946" s="2" t="inlineStr">
        <is>
          <t>SYSTEME ELECTRIC</t>
        </is>
      </c>
      <c r="C2946" s="2" t="inlineStr">
        <is>
          <t>SRVSE2KRTXLI</t>
        </is>
      </c>
      <c r="D2946" s="2" t="inlineStr">
        <is>
          <t>Источник бесперебойного питания Systeme Electriс SRV SRVSE2KRTXLI 1800Вт 2000ВА черный</t>
        </is>
      </c>
      <c r="E2946" s="2" t="inlineStr">
        <is>
          <t>+ </t>
        </is>
      </c>
      <c r="F2946" s="2" t="inlineStr">
        <is>
          <t>+ </t>
        </is>
      </c>
      <c r="H2946" s="2">
        <v>1043</v>
      </c>
      <c r="I2946" s="2" t="inlineStr">
        <is>
          <t>$</t>
        </is>
      </c>
      <c r="J2946" s="2">
        <f>HYPERLINK("https://app.astro.lead-studio.pro/product/44414b7b-14f2-4551-bbfb-ef594c11394a")</f>
      </c>
    </row>
    <row r="2947" spans="1:10" customHeight="0">
      <c r="A2947" s="2" t="inlineStr">
        <is>
          <t>Источник бесперебойного питания</t>
        </is>
      </c>
      <c r="B2947" s="2" t="inlineStr">
        <is>
          <t>SYSTEME ELECTRIC</t>
        </is>
      </c>
      <c r="C2947" s="2" t="inlineStr">
        <is>
          <t>SRVSE3KRTI</t>
        </is>
      </c>
      <c r="D2947" s="2" t="inlineStr">
        <is>
          <t>Источник бесперебойного питания Systeme Electriс SRV SRVSE3KRTI 2700Вт 3000ВА черный</t>
        </is>
      </c>
      <c r="E2947" s="2" t="inlineStr">
        <is>
          <t>+ </t>
        </is>
      </c>
      <c r="F2947" s="2" t="inlineStr">
        <is>
          <t>+ </t>
        </is>
      </c>
      <c r="H2947" s="2">
        <v>872</v>
      </c>
      <c r="I2947" s="2" t="inlineStr">
        <is>
          <t>$</t>
        </is>
      </c>
      <c r="J2947" s="2">
        <f>HYPERLINK("https://app.astro.lead-studio.pro/product/8fab7bc9-163e-45a9-9687-2ed86f59b63e")</f>
      </c>
    </row>
    <row r="2948" spans="1:10" customHeight="0">
      <c r="A2948" s="2" t="inlineStr">
        <is>
          <t>Источник бесперебойного питания</t>
        </is>
      </c>
      <c r="B2948" s="2" t="inlineStr">
        <is>
          <t>SYSTEME ELECTRIC</t>
        </is>
      </c>
      <c r="C2948" s="2" t="inlineStr">
        <is>
          <t>SRVSE6KRTXLI4U</t>
        </is>
      </c>
      <c r="D2948" s="2" t="inlineStr">
        <is>
          <t>Источник бесперебойного питания Systeme Electriс SRV SRVSE6KRTXLI4U 5400Вт 6000ВА черный</t>
        </is>
      </c>
      <c r="E2948" s="2" t="inlineStr">
        <is>
          <t>+ </t>
        </is>
      </c>
      <c r="F2948" s="2" t="inlineStr">
        <is>
          <t>+ </t>
        </is>
      </c>
      <c r="H2948" s="2">
        <v>2181</v>
      </c>
      <c r="I2948" s="2" t="inlineStr">
        <is>
          <t>$</t>
        </is>
      </c>
      <c r="J2948" s="2">
        <f>HYPERLINK("https://app.astro.lead-studio.pro/product/403f47fc-1dab-4393-afe4-e1ae5fefd939")</f>
      </c>
    </row>
    <row r="2949" spans="1:10" customHeight="0">
      <c r="A2949" s="2" t="inlineStr">
        <is>
          <t>Источник бесперебойного питания</t>
        </is>
      </c>
      <c r="B2949" s="2" t="inlineStr">
        <is>
          <t>SYSTEME ELECTRIC</t>
        </is>
      </c>
      <c r="C2949" s="2" t="inlineStr">
        <is>
          <t>SRVSE6KRTXLI5U</t>
        </is>
      </c>
      <c r="D2949" s="2" t="inlineStr">
        <is>
          <t>Источник бесперебойного питания Systeme Electriс SRV SRVSE6KRTXLI5U 5400Вт 6000ВА черный</t>
        </is>
      </c>
      <c r="E2949" s="2" t="inlineStr">
        <is>
          <t>+ </t>
        </is>
      </c>
      <c r="F2949" s="2" t="inlineStr">
        <is>
          <t>+ </t>
        </is>
      </c>
      <c r="H2949" s="2">
        <v>2405</v>
      </c>
      <c r="I2949" s="2" t="inlineStr">
        <is>
          <t>$</t>
        </is>
      </c>
      <c r="J2949" s="2">
        <f>HYPERLINK("https://app.astro.lead-studio.pro/product/4ac27aa9-4970-4b05-bb56-c45b0ad39cc0")</f>
      </c>
    </row>
    <row r="2950" spans="1:10" customHeight="0">
      <c r="A2950" s="2" t="inlineStr">
        <is>
          <t>Источник бесперебойного питания</t>
        </is>
      </c>
      <c r="B2950" s="2" t="inlineStr">
        <is>
          <t>ИМПУЛЬС</t>
        </is>
      </c>
      <c r="C2950" s="2" t="inlineStr">
        <is>
          <t>SL10201</t>
        </is>
      </c>
      <c r="D2950" s="2" t="inlineStr">
        <is>
          <t>Источник бесперебойного питания Импульс Слим 1000 600Вт 1000ВА черный</t>
        </is>
      </c>
      <c r="E2950" s="2" t="inlineStr">
        <is>
          <t>+ </t>
        </is>
      </c>
      <c r="F2950" s="2" t="inlineStr">
        <is>
          <t>+ </t>
        </is>
      </c>
      <c r="H2950" s="2">
        <v>388</v>
      </c>
      <c r="I2950" s="2" t="inlineStr">
        <is>
          <t>$</t>
        </is>
      </c>
      <c r="J2950" s="2">
        <f>HYPERLINK("https://app.astro.lead-studio.pro/product/c1496672-d599-4f22-96e3-1b82db338aec")</f>
      </c>
    </row>
    <row r="2951" spans="1:10" customHeight="0">
      <c r="A2951" s="2" t="inlineStr">
        <is>
          <t>Источник бесперебойного питания</t>
        </is>
      </c>
      <c r="B2951" s="2" t="inlineStr">
        <is>
          <t>ИМПУЛЬС</t>
        </is>
      </c>
      <c r="C2951" s="2" t="inlineStr">
        <is>
          <t>SL15201</t>
        </is>
      </c>
      <c r="D2951" s="2" t="inlineStr">
        <is>
          <t>Источник бесперебойного питания Импульс Слим 1500 900Вт 1500ВА черный</t>
        </is>
      </c>
      <c r="E2951" s="2" t="inlineStr">
        <is>
          <t>+ </t>
        </is>
      </c>
      <c r="F2951" s="2" t="inlineStr">
        <is>
          <t>+ </t>
        </is>
      </c>
      <c r="H2951" s="2">
        <v>521</v>
      </c>
      <c r="I2951" s="2" t="inlineStr">
        <is>
          <t>$</t>
        </is>
      </c>
      <c r="J2951" s="2">
        <f>HYPERLINK("https://app.astro.lead-studio.pro/product/67ddd261-d119-4e9a-a367-7acc7289f006")</f>
      </c>
    </row>
    <row r="2952" spans="1:10" customHeight="0">
      <c r="A2952" s="2" t="inlineStr">
        <is>
          <t>Источник бесперебойного питания</t>
        </is>
      </c>
      <c r="B2952" s="2" t="inlineStr">
        <is>
          <t>ИМПУЛЬС</t>
        </is>
      </c>
      <c r="C2952" s="2" t="inlineStr">
        <is>
          <t>SR20225</t>
        </is>
      </c>
      <c r="D2952" s="2" t="inlineStr">
        <is>
          <t>Источник бесперебойного питания Импульс СПРИНТЕР 2000 1800Вт 2000ВА черный</t>
        </is>
      </c>
      <c r="E2952" s="2" t="inlineStr">
        <is>
          <t>+ </t>
        </is>
      </c>
      <c r="F2952" s="2" t="inlineStr">
        <is>
          <t>+ </t>
        </is>
      </c>
      <c r="H2952" s="2">
        <v>433</v>
      </c>
      <c r="I2952" s="2" t="inlineStr">
        <is>
          <t>$</t>
        </is>
      </c>
      <c r="J2952" s="2">
        <f>HYPERLINK("https://app.astro.lead-studio.pro/product/851d4957-b859-4e02-b87d-420fce11f46f")</f>
      </c>
    </row>
    <row r="2953" spans="1:10" customHeight="0">
      <c r="A2953" s="2" t="inlineStr">
        <is>
          <t>Источник бесперебойного питания</t>
        </is>
      </c>
      <c r="B2953" s="2" t="inlineStr">
        <is>
          <t>ИМПУЛЬС</t>
        </is>
      </c>
      <c r="C2953" s="2" t="inlineStr">
        <is>
          <t>ST15206</t>
        </is>
      </c>
      <c r="D2953" s="2" t="inlineStr">
        <is>
          <t>Источник бесперебойного питания Импульс Стайер 1500 1350Вт 1500ВА черный</t>
        </is>
      </c>
      <c r="E2953" s="2" t="inlineStr">
        <is>
          <t>+ </t>
        </is>
      </c>
      <c r="F2953" s="2" t="inlineStr">
        <is>
          <t>+ </t>
        </is>
      </c>
      <c r="H2953" s="2">
        <v>331</v>
      </c>
      <c r="I2953" s="2" t="inlineStr">
        <is>
          <t>$</t>
        </is>
      </c>
      <c r="J2953" s="2">
        <f>HYPERLINK("https://app.astro.lead-studio.pro/product/db1098a3-20ef-4327-949f-ba0688c246d8")</f>
      </c>
    </row>
    <row r="2954" spans="1:10" customHeight="0">
      <c r="A2954" s="2" t="inlineStr">
        <is>
          <t>Источник бесперебойного питания</t>
        </is>
      </c>
      <c r="B2954" s="2" t="inlineStr">
        <is>
          <t>ИМПУЛЬС</t>
        </is>
      </c>
      <c r="C2954" s="2" t="inlineStr">
        <is>
          <t>FF10201</t>
        </is>
      </c>
      <c r="D2954" s="2" t="inlineStr">
        <is>
          <t>Источник бесперебойного питания Импульс ФОРА 1000 1000Вт 1000ВА черный</t>
        </is>
      </c>
      <c r="E2954" s="2" t="inlineStr">
        <is>
          <t>+ </t>
        </is>
      </c>
      <c r="F2954" s="2" t="inlineStr">
        <is>
          <t>+ </t>
        </is>
      </c>
      <c r="H2954" s="2">
        <v>330</v>
      </c>
      <c r="I2954" s="2" t="inlineStr">
        <is>
          <t>$</t>
        </is>
      </c>
      <c r="J2954" s="2">
        <f>HYPERLINK("https://app.astro.lead-studio.pro/product/3f983e5a-25ca-4662-9734-229901127f73")</f>
      </c>
    </row>
    <row r="2955" spans="1:10" customHeight="0">
      <c r="A2955" s="2" t="inlineStr">
        <is>
          <t>Источник бесперебойного питания</t>
        </is>
      </c>
      <c r="B2955" s="2" t="inlineStr">
        <is>
          <t>ИМПУЛЬС</t>
        </is>
      </c>
      <c r="C2955" s="2" t="inlineStr">
        <is>
          <t>FF10301</t>
        </is>
      </c>
      <c r="D2955" s="2" t="inlineStr">
        <is>
          <t>Источник бесперебойного питания Импульс Фора 10000 10000Вт 10000ВА черный</t>
        </is>
      </c>
      <c r="E2955" s="2" t="inlineStr">
        <is>
          <t>+ </t>
        </is>
      </c>
      <c r="F2955" s="2" t="inlineStr">
        <is>
          <t>+ </t>
        </is>
      </c>
      <c r="H2955" s="2">
        <v>1582</v>
      </c>
      <c r="I2955" s="2" t="inlineStr">
        <is>
          <t>$</t>
        </is>
      </c>
      <c r="J2955" s="2">
        <f>HYPERLINK("https://app.astro.lead-studio.pro/product/8745d137-9444-41d4-96d2-e2ff9e5cb43a")</f>
      </c>
    </row>
    <row r="2956" spans="1:10" customHeight="0">
      <c r="A2956" s="2" t="inlineStr">
        <is>
          <t>Источник бесперебойного питания</t>
        </is>
      </c>
      <c r="B2956" s="2" t="inlineStr">
        <is>
          <t>ИМПУЛЬС</t>
        </is>
      </c>
      <c r="C2956" s="2" t="inlineStr">
        <is>
          <t>FF15201</t>
        </is>
      </c>
      <c r="D2956" s="2" t="inlineStr">
        <is>
          <t>Источник бесперебойного питания Импульс ФОРА 1500 1500Вт 1500ВА черный</t>
        </is>
      </c>
      <c r="E2956" s="2" t="inlineStr">
        <is>
          <t>+ </t>
        </is>
      </c>
      <c r="F2956" s="2" t="inlineStr">
        <is>
          <t>+ </t>
        </is>
      </c>
      <c r="H2956" s="2">
        <v>383</v>
      </c>
      <c r="I2956" s="2" t="inlineStr">
        <is>
          <t>$</t>
        </is>
      </c>
      <c r="J2956" s="2">
        <f>HYPERLINK("https://app.astro.lead-studio.pro/product/7e87e6dc-b717-4e7d-8c90-1d431bbe7898")</f>
      </c>
    </row>
    <row r="2957" spans="1:10" customHeight="0">
      <c r="A2957" s="2" t="inlineStr">
        <is>
          <t>Источник бесперебойного питания</t>
        </is>
      </c>
      <c r="B2957" s="2" t="inlineStr">
        <is>
          <t>ИМПУЛЬС</t>
        </is>
      </c>
      <c r="C2957" s="2" t="inlineStr">
        <is>
          <t>FF20201</t>
        </is>
      </c>
      <c r="D2957" s="2" t="inlineStr">
        <is>
          <t>Источник бесперебойного питания Импульс ФОРА 2000 2000Вт 2000ВА черный</t>
        </is>
      </c>
      <c r="E2957" s="2" t="inlineStr">
        <is>
          <t>+ </t>
        </is>
      </c>
      <c r="F2957" s="2" t="inlineStr">
        <is>
          <t>+ </t>
        </is>
      </c>
      <c r="H2957" s="2">
        <v>418</v>
      </c>
      <c r="I2957" s="2" t="inlineStr">
        <is>
          <t>$</t>
        </is>
      </c>
      <c r="J2957" s="2">
        <f>HYPERLINK("https://app.astro.lead-studio.pro/product/92858c59-2df8-404c-85be-ce1f51fad4ce")</f>
      </c>
    </row>
    <row r="2958" spans="1:10" customHeight="0">
      <c r="A2958" s="2" t="inlineStr">
        <is>
          <t>Источник бесперебойного питания</t>
        </is>
      </c>
      <c r="B2958" s="2" t="inlineStr">
        <is>
          <t>ИМПУЛЬС</t>
        </is>
      </c>
      <c r="C2958" s="2" t="inlineStr">
        <is>
          <t>FF30201</t>
        </is>
      </c>
      <c r="D2958" s="2" t="inlineStr">
        <is>
          <t>Источник бесперебойного питания Импульс ФОРА 3000 3000Вт 3000ВА черный</t>
        </is>
      </c>
      <c r="E2958" s="2" t="inlineStr">
        <is>
          <t>+ </t>
        </is>
      </c>
      <c r="F2958" s="2" t="inlineStr">
        <is>
          <t>+ </t>
        </is>
      </c>
      <c r="H2958" s="2">
        <v>479</v>
      </c>
      <c r="I2958" s="2" t="inlineStr">
        <is>
          <t>$</t>
        </is>
      </c>
      <c r="J2958" s="2">
        <f>HYPERLINK("https://app.astro.lead-studio.pro/product/d8e4ec96-7f74-4231-a110-4028797cfea8")</f>
      </c>
    </row>
    <row r="2959" spans="1:10" customHeight="0">
      <c r="A2959" s="2" t="inlineStr">
        <is>
          <t>Источник бесперебойного питания</t>
        </is>
      </c>
      <c r="B2959" s="2" t="inlineStr">
        <is>
          <t>ИМПУЛЬС</t>
        </is>
      </c>
      <c r="C2959" s="2" t="inlineStr">
        <is>
          <t>FF10203</t>
        </is>
      </c>
      <c r="D2959" s="2" t="inlineStr">
        <is>
          <t>Источник бесперебойного питания Импульс ФОРА Н 1000 1000Вт 1000ВА черный</t>
        </is>
      </c>
      <c r="E2959" s="2" t="inlineStr">
        <is>
          <t>+ </t>
        </is>
      </c>
      <c r="F2959" s="2" t="inlineStr">
        <is>
          <t>+ </t>
        </is>
      </c>
      <c r="H2959" s="2">
        <v>323</v>
      </c>
      <c r="I2959" s="2" t="inlineStr">
        <is>
          <t>$</t>
        </is>
      </c>
      <c r="J2959" s="2">
        <f>HYPERLINK("https://app.astro.lead-studio.pro/product/bb414204-c912-4765-ab72-f7fcca067833")</f>
      </c>
    </row>
    <row r="2960" spans="1:10" customHeight="0">
      <c r="A2960" s="2" t="inlineStr">
        <is>
          <t>Источник бесперебойного питания</t>
        </is>
      </c>
      <c r="B2960" s="2" t="inlineStr">
        <is>
          <t>ИМПУЛЬС</t>
        </is>
      </c>
      <c r="C2960" s="2" t="inlineStr">
        <is>
          <t>FF30203</t>
        </is>
      </c>
      <c r="D2960" s="2" t="inlineStr">
        <is>
          <t>Источник бесперебойного питания Импульс ФОРА Н 3000 3000Вт 3000ВА черный без батареи</t>
        </is>
      </c>
      <c r="E2960" s="2" t="inlineStr">
        <is>
          <t>+ </t>
        </is>
      </c>
      <c r="F2960" s="2" t="inlineStr">
        <is>
          <t>+ </t>
        </is>
      </c>
      <c r="H2960" s="2">
        <v>459</v>
      </c>
      <c r="I2960" s="2" t="inlineStr">
        <is>
          <t>$</t>
        </is>
      </c>
      <c r="J2960" s="2">
        <f>HYPERLINK("https://app.astro.lead-studio.pro/product/d5ac273c-00a3-433a-a7f7-19ccfd254673")</f>
      </c>
    </row>
    <row r="2961" spans="1:10" customHeight="0">
      <c r="A2961" s="2" t="inlineStr">
        <is>
          <t>Источник бесперебойного питания</t>
        </is>
      </c>
      <c r="B2961" s="2" t="inlineStr">
        <is>
          <t>ИМПУЛЬС</t>
        </is>
      </c>
      <c r="C2961" s="2" t="inlineStr">
        <is>
          <t>FW10201</t>
        </is>
      </c>
      <c r="D2961" s="2" t="inlineStr">
        <is>
          <t>Источник бесперебойного питания Импульс ФОРВАРД 1000 1000Вт 1000ВА черный</t>
        </is>
      </c>
      <c r="E2961" s="2" t="inlineStr">
        <is>
          <t>+ </t>
        </is>
      </c>
      <c r="F2961" s="2" t="inlineStr">
        <is>
          <t>+ </t>
        </is>
      </c>
      <c r="H2961" s="2">
        <v>379</v>
      </c>
      <c r="I2961" s="2" t="inlineStr">
        <is>
          <t>$</t>
        </is>
      </c>
      <c r="J2961" s="2">
        <f>HYPERLINK("https://app.astro.lead-studio.pro/product/741418a3-f048-490f-9863-37587da882d0")</f>
      </c>
    </row>
    <row r="2962" spans="1:10" customHeight="0">
      <c r="A2962" s="2" t="inlineStr">
        <is>
          <t>Источник бесперебойного питания</t>
        </is>
      </c>
      <c r="B2962" s="2" t="inlineStr">
        <is>
          <t>ИМПУЛЬС</t>
        </is>
      </c>
      <c r="C2962" s="2" t="inlineStr">
        <is>
          <t>FW10301</t>
        </is>
      </c>
      <c r="D2962" s="2" t="inlineStr">
        <is>
          <t>Источник бесперебойного питания Импульс Форвард 10000 10000Вт 10000ВА черный</t>
        </is>
      </c>
      <c r="E2962" s="2" t="inlineStr">
        <is>
          <t>+ </t>
        </is>
      </c>
      <c r="F2962" s="2" t="inlineStr">
        <is>
          <t>+ </t>
        </is>
      </c>
      <c r="H2962" s="2">
        <v>1584</v>
      </c>
      <c r="I2962" s="2" t="inlineStr">
        <is>
          <t>$</t>
        </is>
      </c>
      <c r="J2962" s="2">
        <f>HYPERLINK("https://app.astro.lead-studio.pro/product/465c3769-3d5d-4f15-b12a-29d1efe47e02")</f>
      </c>
    </row>
    <row r="2963" spans="1:10" customHeight="0">
      <c r="A2963" s="2" t="inlineStr">
        <is>
          <t>Источник бесперебойного питания</t>
        </is>
      </c>
      <c r="B2963" s="2" t="inlineStr">
        <is>
          <t>ИМПУЛЬС</t>
        </is>
      </c>
      <c r="C2963" s="2" t="inlineStr">
        <is>
          <t>FW15201</t>
        </is>
      </c>
      <c r="D2963" s="2" t="inlineStr">
        <is>
          <t>Источник бесперебойного питания Импульс ФОРВАРД 1500 1500Вт 1500ВА черный</t>
        </is>
      </c>
      <c r="E2963" s="2" t="inlineStr">
        <is>
          <t>+ </t>
        </is>
      </c>
      <c r="F2963" s="2" t="inlineStr">
        <is>
          <t>+ </t>
        </is>
      </c>
      <c r="H2963" s="2">
        <v>460</v>
      </c>
      <c r="I2963" s="2" t="inlineStr">
        <is>
          <t>$</t>
        </is>
      </c>
      <c r="J2963" s="2">
        <f>HYPERLINK("https://app.astro.lead-studio.pro/product/563fb360-e820-4b84-ab3b-0ae89ff6a3b1")</f>
      </c>
    </row>
    <row r="2964" spans="1:10" customHeight="0">
      <c r="A2964" s="2" t="inlineStr">
        <is>
          <t>Источник бесперебойного питания</t>
        </is>
      </c>
      <c r="B2964" s="2" t="inlineStr">
        <is>
          <t>ИМПУЛЬС</t>
        </is>
      </c>
      <c r="C2964" s="2" t="inlineStr">
        <is>
          <t>FW20201</t>
        </is>
      </c>
      <c r="D2964" s="2" t="inlineStr">
        <is>
          <t>Источник бесперебойного питания Импульс Форвард 2000Вт 2000ВА черный</t>
        </is>
      </c>
      <c r="E2964" s="2" t="inlineStr">
        <is>
          <t>+ </t>
        </is>
      </c>
      <c r="F2964" s="2" t="inlineStr">
        <is>
          <t>+ </t>
        </is>
      </c>
      <c r="H2964" s="2">
        <v>525</v>
      </c>
      <c r="I2964" s="2" t="inlineStr">
        <is>
          <t>$</t>
        </is>
      </c>
      <c r="J2964" s="2">
        <f>HYPERLINK("https://app.astro.lead-studio.pro/product/5ffc2e86-ab82-4447-b226-f2d90ab081b0")</f>
      </c>
    </row>
    <row r="2965" spans="1:10" customHeight="0">
      <c r="A2965" s="2" t="inlineStr">
        <is>
          <t>Источник бесперебойного питания</t>
        </is>
      </c>
      <c r="B2965" s="2" t="inlineStr">
        <is>
          <t>ИМПУЛЬС</t>
        </is>
      </c>
      <c r="C2965" s="2" t="inlineStr">
        <is>
          <t>FW60201</t>
        </is>
      </c>
      <c r="D2965" s="2" t="inlineStr">
        <is>
          <t>Источник бесперебойного питания Импульс Форвард 6000 6000Вт 6000ВА черный</t>
        </is>
      </c>
      <c r="E2965" s="2" t="inlineStr">
        <is>
          <t>+ </t>
        </is>
      </c>
      <c r="F2965" s="2" t="inlineStr">
        <is>
          <t>+ </t>
        </is>
      </c>
      <c r="H2965" s="2">
        <v>1434</v>
      </c>
      <c r="I2965" s="2" t="inlineStr">
        <is>
          <t>$</t>
        </is>
      </c>
      <c r="J2965" s="2">
        <f>HYPERLINK("https://app.astro.lead-studio.pro/product/c4b61662-1e76-4549-8229-9f67f243dece")</f>
      </c>
    </row>
    <row r="2966" spans="1:10" customHeight="0">
      <c r="A2966" s="2" t="inlineStr">
        <is>
          <t>Источник бесперебойного питания</t>
        </is>
      </c>
      <c r="B2966" s="2" t="inlineStr">
        <is>
          <t>ИМПУЛЬС</t>
        </is>
      </c>
      <c r="C2966" s="2" t="inlineStr">
        <is>
          <t>FW10303</t>
        </is>
      </c>
      <c r="D2966" s="2" t="inlineStr">
        <is>
          <t>Источник бесперебойного питания Импульс Форвард Н 10000 10000Вт 10000ВА черный без батареи</t>
        </is>
      </c>
      <c r="E2966" s="2" t="inlineStr">
        <is>
          <t>+ </t>
        </is>
      </c>
      <c r="F2966" s="2" t="inlineStr">
        <is>
          <t>+ </t>
        </is>
      </c>
      <c r="H2966" s="2">
        <v>992</v>
      </c>
      <c r="I2966" s="2" t="inlineStr">
        <is>
          <t>$</t>
        </is>
      </c>
      <c r="J2966" s="2">
        <f>HYPERLINK("https://app.astro.lead-studio.pro/product/b21bde76-d82a-4ad6-93fd-686cca598594")</f>
      </c>
    </row>
    <row r="2967" spans="1:10" customHeight="0">
      <c r="A2967" s="2" t="inlineStr">
        <is>
          <t>Источник бесперебойного питания</t>
        </is>
      </c>
      <c r="B2967" s="2" t="inlineStr">
        <is>
          <t>ИМПУЛЬС</t>
        </is>
      </c>
      <c r="C2967" s="2" t="inlineStr">
        <is>
          <t>FD10302</t>
        </is>
      </c>
      <c r="D2967" s="2" t="inlineStr">
        <is>
          <t>Источник бесперебойного питания Импульс Форвард Н 10000 10000Вт 10000ВА черный без батареи</t>
        </is>
      </c>
      <c r="E2967" s="2" t="inlineStr">
        <is>
          <t>+ </t>
        </is>
      </c>
      <c r="F2967" s="2" t="inlineStr">
        <is>
          <t>+ </t>
        </is>
      </c>
      <c r="H2967" s="2">
        <v>1018</v>
      </c>
      <c r="I2967" s="2" t="inlineStr">
        <is>
          <t>$</t>
        </is>
      </c>
      <c r="J2967" s="2">
        <f>HYPERLINK("https://app.astro.lead-studio.pro/product/cbec0927-30da-46ec-aa85-c3856660436c")</f>
      </c>
    </row>
    <row r="2968" spans="1:10" customHeight="0">
      <c r="A2968" s="2" t="inlineStr">
        <is>
          <t>Источник бесперебойного питания</t>
        </is>
      </c>
      <c r="B2968" s="2" t="inlineStr">
        <is>
          <t>ИМПУЛЬС</t>
        </is>
      </c>
      <c r="C2968" s="2" t="inlineStr">
        <is>
          <t>FW60203</t>
        </is>
      </c>
      <c r="D2968" s="2" t="inlineStr">
        <is>
          <t>Источник бесперебойного питания Импульс Форвард Н 6000 6000Вт 6000ВА черный без батареи</t>
        </is>
      </c>
      <c r="E2968" s="2" t="inlineStr">
        <is>
          <t>+ </t>
        </is>
      </c>
      <c r="F2968" s="2" t="inlineStr">
        <is>
          <t>+ </t>
        </is>
      </c>
      <c r="H2968" s="2">
        <v>895</v>
      </c>
      <c r="I2968" s="2" t="inlineStr">
        <is>
          <t>$</t>
        </is>
      </c>
      <c r="J2968" s="2">
        <f>HYPERLINK("https://app.astro.lead-studio.pro/product/5503919b-7fc7-4d65-b229-bf1afd1652c8")</f>
      </c>
    </row>
    <row r="2969" spans="1:10" customHeight="0">
      <c r="A2969" s="2" t="inlineStr">
        <is>
          <t>Источник бесперебойного питания</t>
        </is>
      </c>
      <c r="B2969" s="2" t="inlineStr">
        <is>
          <t>ИМПУЛЬС</t>
        </is>
      </c>
      <c r="C2969" s="2" t="inlineStr">
        <is>
          <t>FT15222</t>
        </is>
      </c>
      <c r="D2969" s="2" t="inlineStr">
        <is>
          <t>Источник бесперебойного питания Импульс Фристайл 1500 ВА 1350Вт 1500ВА черный</t>
        </is>
      </c>
      <c r="E2969" s="2" t="inlineStr">
        <is>
          <t>+ </t>
        </is>
      </c>
      <c r="F2969" s="2" t="inlineStr">
        <is>
          <t>+ </t>
        </is>
      </c>
      <c r="H2969" s="2">
        <v>437</v>
      </c>
      <c r="I2969" s="2" t="inlineStr">
        <is>
          <t>$</t>
        </is>
      </c>
      <c r="J2969" s="2">
        <f>HYPERLINK("https://app.astro.lead-studio.pro/product/d0345c89-bf21-4f3e-9bef-fa2824fa256f")</f>
      </c>
    </row>
    <row r="2970" spans="1:10" customHeight="0">
      <c r="A2970" s="2" t="inlineStr">
        <is>
          <t>Источник бесперебойного питания</t>
        </is>
      </c>
      <c r="B2970" s="2" t="inlineStr">
        <is>
          <t>ИМПУЛЬС</t>
        </is>
      </c>
      <c r="C2970" s="2" t="inlineStr">
        <is>
          <t>JR20202</t>
        </is>
      </c>
      <c r="D2970" s="2" t="inlineStr">
        <is>
          <t>Источник бесперебойного питания Импульс Юниор Про 2000 РТ 1600Вт 2000ВА черный</t>
        </is>
      </c>
      <c r="E2970" s="2" t="inlineStr">
        <is>
          <t>+ </t>
        </is>
      </c>
      <c r="F2970" s="2" t="inlineStr">
        <is>
          <t>+ </t>
        </is>
      </c>
      <c r="H2970" s="2">
        <v>352</v>
      </c>
      <c r="I2970" s="2" t="inlineStr">
        <is>
          <t>$</t>
        </is>
      </c>
      <c r="J2970" s="2">
        <f>HYPERLINK("https://app.astro.lead-studio.pro/product/af0cb501-3a19-4d2b-86b1-addf30d17441")</f>
      </c>
    </row>
    <row r="2971" spans="1:10" customHeight="0">
      <c r="A2971" s="2" t="inlineStr">
        <is>
          <t>Источник бесперебойного питания</t>
        </is>
      </c>
      <c r="B2971" s="2" t="inlineStr">
        <is>
          <t>ИМПУЛЬС</t>
        </is>
      </c>
      <c r="C2971" s="2" t="inlineStr">
        <is>
          <t>JR30202</t>
        </is>
      </c>
      <c r="D2971" s="2" t="inlineStr">
        <is>
          <t>Источник бесперебойного питания Импульс Юниор Про 3000 РТ 2400Вт 3000ВА черный</t>
        </is>
      </c>
      <c r="E2971" s="2" t="inlineStr">
        <is>
          <t>+ </t>
        </is>
      </c>
      <c r="F2971" s="2" t="inlineStr">
        <is>
          <t>+ </t>
        </is>
      </c>
      <c r="H2971" s="2">
        <v>447</v>
      </c>
      <c r="I2971" s="2" t="inlineStr">
        <is>
          <t>$</t>
        </is>
      </c>
      <c r="J2971" s="2">
        <f>HYPERLINK("https://app.astro.lead-studio.pro/product/ec466993-adec-4726-9517-bb153d9e8759")</f>
      </c>
    </row>
    <row r="2972" spans="1:10" customHeight="0">
      <c r="A2972" s="2" t="inlineStr">
        <is>
          <t>Источник бесперебойного питания</t>
        </is>
      </c>
      <c r="B2972" s="2" t="inlineStr">
        <is>
          <t>СВЯЗЬ ИНЖИНИРИНГ</t>
        </is>
      </c>
      <c r="C2972" s="2" t="inlineStr">
        <is>
          <t>СИПБ1,5КА.10-11</t>
        </is>
      </c>
      <c r="D2972" s="2" t="inlineStr">
        <is>
          <t>Источник бесперебойного питания Связь Инжиниринг СИПБ1,5КА.10-11 1500Вт 1500ВА черный</t>
        </is>
      </c>
      <c r="E2972" s="2" t="inlineStr">
        <is>
          <t>+ </t>
        </is>
      </c>
      <c r="F2972" s="2" t="inlineStr">
        <is>
          <t>+ </t>
        </is>
      </c>
      <c r="H2972" s="2">
        <v>569</v>
      </c>
      <c r="I2972" s="2" t="inlineStr">
        <is>
          <t>$</t>
        </is>
      </c>
      <c r="J2972" s="2">
        <f>HYPERLINK("https://app.astro.lead-studio.pro/product/399ddcdb-3dab-4765-b391-90032b97c0da")</f>
      </c>
    </row>
    <row r="2973" spans="1:10" customHeight="0">
      <c r="A2973" s="2" t="inlineStr">
        <is>
          <t>Источник бесперебойного питания</t>
        </is>
      </c>
      <c r="B2973" s="2" t="inlineStr">
        <is>
          <t>СВЯЗЬ ИНЖИНИРИНГ</t>
        </is>
      </c>
      <c r="C2973" s="2" t="inlineStr">
        <is>
          <t>СИПБ10БА.10-11</t>
        </is>
      </c>
      <c r="D2973" s="2" t="inlineStr">
        <is>
          <t>Источник бесперебойного питания Связь Инжиниринг СИПБ10БА.10-11 10000Вт 10000ВА черный</t>
        </is>
      </c>
      <c r="E2973" s="2" t="inlineStr">
        <is>
          <t>+ </t>
        </is>
      </c>
      <c r="F2973" s="2" t="inlineStr">
        <is>
          <t>+ </t>
        </is>
      </c>
      <c r="H2973" s="2">
        <v>2560</v>
      </c>
      <c r="I2973" s="2" t="inlineStr">
        <is>
          <t>$</t>
        </is>
      </c>
      <c r="J2973" s="2">
        <f>HYPERLINK("https://app.astro.lead-studio.pro/product/d75cd52d-809a-4d31-af35-eb163a254cd2")</f>
      </c>
    </row>
    <row r="2974" spans="1:10" customHeight="0">
      <c r="A2974" s="2" t="inlineStr">
        <is>
          <t>Источник бесперебойного питания</t>
        </is>
      </c>
      <c r="B2974" s="2" t="inlineStr">
        <is>
          <t>СВЯЗЬ ИНЖИНИРИНГ</t>
        </is>
      </c>
      <c r="C2974" s="2" t="inlineStr">
        <is>
          <t>СИПБ10КД.9-11/БПС</t>
        </is>
      </c>
      <c r="D2974" s="2" t="inlineStr">
        <is>
          <t>Источник бесперебойного питания Связь Инжиниринг СИПБ10КД.9-11/БПС 9000Вт 10000ВА черный</t>
        </is>
      </c>
      <c r="E2974" s="2" t="inlineStr">
        <is>
          <t>+ </t>
        </is>
      </c>
      <c r="F2974" s="2" t="inlineStr">
        <is>
          <t>+ </t>
        </is>
      </c>
      <c r="H2974" s="2">
        <v>1803</v>
      </c>
      <c r="I2974" s="2" t="inlineStr">
        <is>
          <t>$</t>
        </is>
      </c>
      <c r="J2974" s="2">
        <f>HYPERLINK("https://app.astro.lead-studio.pro/product/f2d1158b-d7c8-447e-ae8f-21e375c41245")</f>
      </c>
    </row>
    <row r="2975" spans="1:10" customHeight="0">
      <c r="A2975" s="2" t="inlineStr">
        <is>
          <t>Источник бесперебойного питания</t>
        </is>
      </c>
      <c r="B2975" s="2" t="inlineStr">
        <is>
          <t>СВЯЗЬ ИНЖИНИРИНГ</t>
        </is>
      </c>
      <c r="C2975" s="2" t="inlineStr">
        <is>
          <t>СИПБ1БА.10-11</t>
        </is>
      </c>
      <c r="D2975" s="2" t="inlineStr">
        <is>
          <t>Источник бесперебойного питания Связь Инжиниринг СИПБ1БА.10-11 1000Вт 1000ВА черный</t>
        </is>
      </c>
      <c r="E2975" s="2" t="inlineStr">
        <is>
          <t>+ </t>
        </is>
      </c>
      <c r="F2975" s="2" t="inlineStr">
        <is>
          <t>+ </t>
        </is>
      </c>
      <c r="H2975" s="2">
        <v>380</v>
      </c>
      <c r="I2975" s="2" t="inlineStr">
        <is>
          <t>$</t>
        </is>
      </c>
      <c r="J2975" s="2">
        <f>HYPERLINK("https://app.astro.lead-studio.pro/product/595e3b02-235a-4b1c-83f5-d8f76d8bf2fd")</f>
      </c>
    </row>
    <row r="2976" spans="1:10" customHeight="0">
      <c r="A2976" s="2" t="inlineStr">
        <is>
          <t>Источник бесперебойного питания</t>
        </is>
      </c>
      <c r="B2976" s="2" t="inlineStr">
        <is>
          <t>СВЯЗЬ ИНЖИНИРИНГ</t>
        </is>
      </c>
      <c r="C2976" s="2" t="inlineStr">
        <is>
          <t>СИПБ1КА.10-11</t>
        </is>
      </c>
      <c r="D2976" s="2" t="inlineStr">
        <is>
          <t>Источник бесперебойного питания Связь Инжиниринг СИПБ1КА.10-11 1000Вт 1000ВА черный</t>
        </is>
      </c>
      <c r="E2976" s="2" t="inlineStr">
        <is>
          <t>+ </t>
        </is>
      </c>
      <c r="F2976" s="2" t="inlineStr">
        <is>
          <t>+ </t>
        </is>
      </c>
      <c r="H2976" s="2">
        <v>399</v>
      </c>
      <c r="I2976" s="2" t="inlineStr">
        <is>
          <t>$</t>
        </is>
      </c>
      <c r="J2976" s="2">
        <f>HYPERLINK("https://app.astro.lead-studio.pro/product/39a534c8-0db2-45ca-b65c-682202e4494c")</f>
      </c>
    </row>
    <row r="2977" spans="1:10" customHeight="0">
      <c r="A2977" s="2" t="inlineStr">
        <is>
          <t>Источник бесперебойного питания</t>
        </is>
      </c>
      <c r="B2977" s="2" t="inlineStr">
        <is>
          <t>СВЯЗЬ ИНЖИНИРИНГ</t>
        </is>
      </c>
      <c r="C2977" s="2" t="inlineStr">
        <is>
          <t>СИПБ6КД.10-11/2U</t>
        </is>
      </c>
      <c r="D2977" s="2" t="inlineStr">
        <is>
          <t>Источник бесперебойного питания Связь Инжиниринг СИПБ6КД.10-11/2U 6000Вт 6000ВА черный</t>
        </is>
      </c>
      <c r="E2977" s="2" t="inlineStr">
        <is>
          <t>+ </t>
        </is>
      </c>
      <c r="F2977" s="2" t="inlineStr">
        <is>
          <t>+ </t>
        </is>
      </c>
      <c r="H2977" s="2">
        <v>1438</v>
      </c>
      <c r="I2977" s="2" t="inlineStr">
        <is>
          <t>$</t>
        </is>
      </c>
      <c r="J2977" s="2">
        <f>HYPERLINK("https://app.astro.lead-studio.pro/product/6eb26b50-bc82-4532-a159-ef3116cb4b4a")</f>
      </c>
    </row>
    <row r="2978" spans="1:10" customHeight="0">
      <c r="A2978" s="2" t="inlineStr">
        <is>
          <t>Источник бесперебойного питания</t>
        </is>
      </c>
      <c r="B2978" s="2" t="inlineStr">
        <is>
          <t>СВЯЗЬ ИНЖИНИРИНГ</t>
        </is>
      </c>
      <c r="C2978" s="2" t="inlineStr">
        <is>
          <t>СИПБ6КД.9-11/БПС</t>
        </is>
      </c>
      <c r="D2978" s="2" t="inlineStr">
        <is>
          <t>Источник бесперебойного питания Связь Инжиниринг СИПБ6КД.9-11/БПС 5400Вт 6000ВА черный</t>
        </is>
      </c>
      <c r="E2978" s="2" t="inlineStr">
        <is>
          <t>+ </t>
        </is>
      </c>
      <c r="F2978" s="2" t="inlineStr">
        <is>
          <t>+ </t>
        </is>
      </c>
      <c r="H2978" s="2">
        <v>1645</v>
      </c>
      <c r="I2978" s="2" t="inlineStr">
        <is>
          <t>$</t>
        </is>
      </c>
      <c r="J2978" s="2">
        <f>HYPERLINK("https://app.astro.lead-studio.pro/product/3b5b7c30-b9b6-4abd-8ca6-f53399e95067")</f>
      </c>
    </row>
    <row r="2979" spans="1:10" customHeight="0">
      <c r="A2979" s="2" t="inlineStr">
        <is>
          <t>Источник бесперебойного питания</t>
        </is>
      </c>
      <c r="B2979" s="2" t="inlineStr">
        <is>
          <t>ШТИЛЬ</t>
        </is>
      </c>
      <c r="C2979" s="2" t="inlineStr">
        <is>
          <t>SR1101L</t>
        </is>
      </c>
      <c r="D2979" s="2" t="inlineStr">
        <is>
          <t>Источник бесперебойного питания Штиль SR1101L 900Вт 1000ВА серый</t>
        </is>
      </c>
      <c r="E2979" s="2" t="inlineStr">
        <is>
          <t>+ </t>
        </is>
      </c>
      <c r="F2979" s="2" t="inlineStr">
        <is>
          <t>+ </t>
        </is>
      </c>
      <c r="H2979" s="2">
        <v>365</v>
      </c>
      <c r="I2979" s="2" t="inlineStr">
        <is>
          <t>$</t>
        </is>
      </c>
      <c r="J2979" s="2">
        <f>HYPERLINK("https://app.astro.lead-studio.pro/product/94b3969f-b98f-4b2f-8d9d-482e6dfd6570")</f>
      </c>
    </row>
    <row r="2980" spans="1:10" customHeight="0">
      <c r="A2980" s="2" t="inlineStr">
        <is>
          <t>Источник бесперебойного питания</t>
        </is>
      </c>
      <c r="B2980" s="2" t="inlineStr">
        <is>
          <t>ШТИЛЬ</t>
        </is>
      </c>
      <c r="C2980" s="2" t="inlineStr">
        <is>
          <t>SR1101SL</t>
        </is>
      </c>
      <c r="D2980" s="2" t="inlineStr">
        <is>
          <t>Источник бесперебойного питания Штиль SR1101SL 900Вт 1000ВА серый</t>
        </is>
      </c>
      <c r="E2980" s="2" t="inlineStr">
        <is>
          <t>+ </t>
        </is>
      </c>
      <c r="F2980" s="2" t="inlineStr">
        <is>
          <t>+ </t>
        </is>
      </c>
      <c r="H2980" s="2">
        <v>384</v>
      </c>
      <c r="I2980" s="2" t="inlineStr">
        <is>
          <t>$</t>
        </is>
      </c>
      <c r="J2980" s="2">
        <f>HYPERLINK("https://app.astro.lead-studio.pro/product/f359cdfc-d300-430e-bda9-d575d1f98796")</f>
      </c>
    </row>
    <row r="2981" spans="1:10" customHeight="0">
      <c r="A2981" s="2" t="inlineStr">
        <is>
          <t>Источник бесперебойного питания</t>
        </is>
      </c>
      <c r="B2981" s="2" t="inlineStr">
        <is>
          <t>ШТИЛЬ</t>
        </is>
      </c>
      <c r="C2981" s="2" t="inlineStr">
        <is>
          <t>SR1103L</t>
        </is>
      </c>
      <c r="D2981" s="2" t="inlineStr">
        <is>
          <t>Источник бесперебойного питания Штиль SR1103L 2700Вт 3000ВА серый</t>
        </is>
      </c>
      <c r="E2981" s="2" t="inlineStr">
        <is>
          <t>+ </t>
        </is>
      </c>
      <c r="F2981" s="2" t="inlineStr">
        <is>
          <t>+ </t>
        </is>
      </c>
      <c r="H2981" s="2">
        <v>660</v>
      </c>
      <c r="I2981" s="2" t="inlineStr">
        <is>
          <t>$</t>
        </is>
      </c>
      <c r="J2981" s="2">
        <f>HYPERLINK("https://app.astro.lead-studio.pro/product/d516cac1-976b-4fd1-b4e4-5796114bb8b1")</f>
      </c>
    </row>
    <row r="2982" spans="1:10" customHeight="0">
      <c r="A2982" s="2" t="inlineStr">
        <is>
          <t>Источник бесперебойного питания</t>
        </is>
      </c>
      <c r="B2982" s="2" t="inlineStr">
        <is>
          <t>ШТИЛЬ</t>
        </is>
      </c>
      <c r="C2982" s="2" t="inlineStr">
        <is>
          <t>SR1110L</t>
        </is>
      </c>
      <c r="D2982" s="2" t="inlineStr">
        <is>
          <t>Источник бесперебойного питания Штиль SR1110L 8000Вт 10000ВА серый</t>
        </is>
      </c>
      <c r="E2982" s="2" t="inlineStr">
        <is>
          <t>+ </t>
        </is>
      </c>
      <c r="F2982" s="2" t="inlineStr">
        <is>
          <t>+ </t>
        </is>
      </c>
      <c r="H2982" s="2">
        <v>1371</v>
      </c>
      <c r="I2982" s="2" t="inlineStr">
        <is>
          <t>$</t>
        </is>
      </c>
      <c r="J2982" s="2">
        <f>HYPERLINK("https://app.astro.lead-studio.pro/product/0caa5184-7d07-4218-8737-64bc32efd84f")</f>
      </c>
    </row>
    <row r="2983" spans="1:10" customHeight="0">
      <c r="A2983" s="2" t="inlineStr">
        <is>
          <t>Источник бесперебойного питания</t>
        </is>
      </c>
      <c r="B2983" s="2" t="inlineStr">
        <is>
          <t>ШТИЛЬ</t>
        </is>
      </c>
      <c r="C2983" s="2" t="inlineStr">
        <is>
          <t>ST1101SL</t>
        </is>
      </c>
      <c r="D2983" s="2" t="inlineStr">
        <is>
          <t>Источник бесперебойного питания Штиль ST ST1101SL 900Вт 1000ВА серый</t>
        </is>
      </c>
      <c r="E2983" s="2" t="inlineStr">
        <is>
          <t>+ </t>
        </is>
      </c>
      <c r="F2983" s="2" t="inlineStr">
        <is>
          <t>+ </t>
        </is>
      </c>
      <c r="H2983" s="2">
        <v>400</v>
      </c>
      <c r="I2983" s="2" t="inlineStr">
        <is>
          <t>$</t>
        </is>
      </c>
      <c r="J2983" s="2">
        <f>HYPERLINK("https://app.astro.lead-studio.pro/product/a5edf1ec-0782-4f62-be43-fdb897e45aaf")</f>
      </c>
    </row>
    <row r="2984" spans="1:10" customHeight="0">
      <c r="A2984" s="2" t="inlineStr">
        <is>
          <t>Источник бесперебойного питания</t>
        </is>
      </c>
      <c r="B2984" s="2" t="inlineStr">
        <is>
          <t>ШТИЛЬ</t>
        </is>
      </c>
      <c r="C2984" s="2" t="inlineStr">
        <is>
          <t>STR1102SL</t>
        </is>
      </c>
      <c r="D2984" s="2" t="inlineStr">
        <is>
          <t>Источник бесперебойного питания Штиль STR STR1102SL 1800Вт 2000ВА черный</t>
        </is>
      </c>
      <c r="E2984" s="2" t="inlineStr">
        <is>
          <t>+ </t>
        </is>
      </c>
      <c r="F2984" s="2" t="inlineStr">
        <is>
          <t>+ </t>
        </is>
      </c>
      <c r="H2984" s="2">
        <v>663</v>
      </c>
      <c r="I2984" s="2" t="inlineStr">
        <is>
          <t>$</t>
        </is>
      </c>
      <c r="J2984" s="2">
        <f>HYPERLINK("https://app.astro.lead-studio.pro/product/87a2ad4f-4a63-442f-a528-8141bd5dae7f")</f>
      </c>
    </row>
    <row r="2985" spans="1:10" customHeight="0">
      <c r="A2985" s="2" t="inlineStr">
        <is>
          <t>Источник бесперебойного питания</t>
        </is>
      </c>
      <c r="B2985" s="2" t="inlineStr">
        <is>
          <t>ШТИЛЬ</t>
        </is>
      </c>
      <c r="C2985" s="2" t="inlineStr">
        <is>
          <t>STR1106SL</t>
        </is>
      </c>
      <c r="D2985" s="2" t="inlineStr">
        <is>
          <t>Источник бесперебойного питания Штиль STR1106SL 5400Вт 6000ВА черный</t>
        </is>
      </c>
      <c r="E2985" s="2" t="inlineStr">
        <is>
          <t>+ </t>
        </is>
      </c>
      <c r="F2985" s="2" t="inlineStr">
        <is>
          <t>+ </t>
        </is>
      </c>
      <c r="H2985" s="2">
        <v>2115</v>
      </c>
      <c r="I2985" s="2" t="inlineStr">
        <is>
          <t>$</t>
        </is>
      </c>
      <c r="J2985" s="2">
        <f>HYPERLINK("https://app.astro.lead-studio.pro/product/2271ce10-a39e-4c4c-ae47-4c65288bdd3c")</f>
      </c>
    </row>
    <row r="2986" spans="1:10" customHeight="0">
      <c r="A2986" s="2" t="inlineStr">
        <is>
          <t>Источник бесперебойного питания</t>
        </is>
      </c>
      <c r="B2986" s="2" t="inlineStr">
        <is>
          <t>ШТИЛЬ</t>
        </is>
      </c>
      <c r="C2986" s="2" t="inlineStr">
        <is>
          <t>STR1110SL</t>
        </is>
      </c>
      <c r="D2986" s="2" t="inlineStr">
        <is>
          <t>Источник бесперебойного питания Штиль STR1110SL 8000Вт 10000ВА черный</t>
        </is>
      </c>
      <c r="E2986" s="2" t="inlineStr">
        <is>
          <t>+ </t>
        </is>
      </c>
      <c r="F2986" s="2" t="inlineStr">
        <is>
          <t>+ </t>
        </is>
      </c>
      <c r="H2986" s="2">
        <v>2348</v>
      </c>
      <c r="I2986" s="2" t="inlineStr">
        <is>
          <t>$</t>
        </is>
      </c>
      <c r="J2986" s="2">
        <f>HYPERLINK("https://app.astro.lead-studio.pro/product/8004d69c-2084-447e-a8fc-fa53b30d792f")</f>
      </c>
    </row>
    <row r="2987" spans="1:10" customHeight="0">
      <c r="A2987" s="2" t="inlineStr">
        <is>
          <t>Источник бесперебойного питания</t>
        </is>
      </c>
      <c r="B2987" s="2" t="inlineStr">
        <is>
          <t>ШТИЛЬ</t>
        </is>
      </c>
      <c r="C2987" s="2" t="inlineStr">
        <is>
          <t>SW1000SL</t>
        </is>
      </c>
      <c r="D2987" s="2" t="inlineStr">
        <is>
          <t>Источник бесперебойного питания Штиль SW1000SL 900Вт 1000ВА серый</t>
        </is>
      </c>
      <c r="E2987" s="2" t="inlineStr">
        <is>
          <t>+ </t>
        </is>
      </c>
      <c r="F2987" s="2" t="inlineStr">
        <is>
          <t>+ </t>
        </is>
      </c>
      <c r="H2987" s="2">
        <v>357</v>
      </c>
      <c r="I2987" s="2" t="inlineStr">
        <is>
          <t>$</t>
        </is>
      </c>
      <c r="J2987" s="2">
        <f>HYPERLINK("https://app.astro.lead-studio.pro/product/0dacb53d-bdf9-4e14-ab58-a6122ac6d414")</f>
      </c>
    </row>
    <row r="2988" spans="1:10" customHeight="0">
      <c r="A2988" s="2" t="inlineStr">
        <is>
          <t>Блоки питания</t>
        </is>
      </c>
      <c r="B2988" s="2" t="inlineStr">
        <is>
          <t>GIGABYTE</t>
        </is>
      </c>
      <c r="C2988" s="2" t="inlineStr">
        <is>
          <t>GP-AP1200PM</t>
        </is>
      </c>
      <c r="D2988" s="2" t="inlineStr">
        <is>
          <t>Блок питания Gigabyte ATX 1200W GP-AP1200PM 80+ platinum (20+4pin) APFC 140mm fan 16xSATA Cab Manag RTL</t>
        </is>
      </c>
      <c r="E2988" s="2" t="inlineStr">
        <is>
          <t>+ </t>
        </is>
      </c>
      <c r="F2988" s="2" t="inlineStr">
        <is>
          <t>+ </t>
        </is>
      </c>
      <c r="H2988" s="2">
        <v>335</v>
      </c>
      <c r="I2988" s="2" t="inlineStr">
        <is>
          <t>$</t>
        </is>
      </c>
      <c r="J2988" s="2">
        <f>HYPERLINK("https://app.astro.lead-studio.pro/product/3c907cfc-6f1d-48d5-8934-440f3f3bae7d")</f>
      </c>
    </row>
    <row r="2989" spans="1:10" customHeight="0">
      <c r="A2989" s="2" t="inlineStr">
        <is>
          <t>Блоки питания</t>
        </is>
      </c>
      <c r="B2989" s="2" t="inlineStr">
        <is>
          <t>MSI</t>
        </is>
      </c>
      <c r="C2989" s="2" t="inlineStr">
        <is>
          <t>306-7ZP4A11-CE0</t>
        </is>
      </c>
      <c r="D2989" s="2" t="inlineStr">
        <is>
          <t>Блок питания MSI ATX 1300W MEG Ai1300P 80+ platinum 24pin APFC 120mm fan 16xSATA Cab Manag RTL</t>
        </is>
      </c>
      <c r="E2989" s="2" t="inlineStr">
        <is>
          <t>+ </t>
        </is>
      </c>
      <c r="F2989" s="2" t="inlineStr">
        <is>
          <t>+ </t>
        </is>
      </c>
      <c r="H2989" s="2">
        <v>444</v>
      </c>
      <c r="I2989" s="2" t="inlineStr">
        <is>
          <t>$</t>
        </is>
      </c>
      <c r="J2989" s="2">
        <f>HYPERLINK("https://app.astro.lead-studio.pro/product/6c714253-550e-4987-8a1b-c2187f9ce4a9")</f>
      </c>
    </row>
    <row r="2990" spans="1:10" customHeight="0">
      <c r="A2990" s="2" t="inlineStr">
        <is>
          <t>Блоки питания</t>
        </is>
      </c>
      <c r="B2990" s="2" t="inlineStr">
        <is>
          <t>THERMALTAKE</t>
        </is>
      </c>
      <c r="C2990" s="2" t="inlineStr">
        <is>
          <t>PS-TPD-1550FNFATE-1</t>
        </is>
      </c>
      <c r="D2990" s="2" t="inlineStr">
        <is>
          <t>Блок питания Thermaltake ATX 1550W Toughpower Grand TF1 80+ titanium 24pin APFC 140mm fan color 16xSATA Cab Manag RTL</t>
        </is>
      </c>
      <c r="E2990" s="2" t="inlineStr">
        <is>
          <t>+ </t>
        </is>
      </c>
      <c r="F2990" s="2" t="inlineStr">
        <is>
          <t>+ </t>
        </is>
      </c>
      <c r="H2990" s="2">
        <v>445</v>
      </c>
      <c r="I2990" s="2" t="inlineStr">
        <is>
          <t>$</t>
        </is>
      </c>
      <c r="J2990" s="2">
        <f>HYPERLINK("https://app.astro.lead-studio.pro/product/75dc7144-4fc0-4af1-b740-5dad1a0e4a8a")</f>
      </c>
    </row>
    <row r="2991" spans="1:10" customHeight="0">
      <c r="A2991" s="2" t="inlineStr">
        <is>
          <t>Видеокарты</t>
        </is>
      </c>
      <c r="B2991" s="2" t="inlineStr">
        <is>
          <t>AFOX</t>
        </is>
      </c>
      <c r="C2991" s="2" t="inlineStr">
        <is>
          <t>AF3060-8GD6H4</t>
        </is>
      </c>
      <c r="D2991" s="2" t="inlineStr">
        <is>
          <t>Видеокарта Afox PCI-E 4.0 AF3060-8GD6H4 NVIDIA GeForce RTX 3060 8Gb 128bit GDDR6 1320/15000 HDMIx1 DPx3 HDCP Ret</t>
        </is>
      </c>
      <c r="E2991" s="2" t="inlineStr">
        <is>
          <t>+ </t>
        </is>
      </c>
      <c r="F2991" s="2" t="inlineStr">
        <is>
          <t>+ </t>
        </is>
      </c>
      <c r="H2991" s="2">
        <v>375</v>
      </c>
      <c r="I2991" s="2" t="inlineStr">
        <is>
          <t>$</t>
        </is>
      </c>
      <c r="J2991" s="2">
        <f>HYPERLINK("https://app.astro.lead-studio.pro/product/0a8e33b2-4dc3-41b0-b96f-63cdf1f1f315")</f>
      </c>
    </row>
    <row r="2992" spans="1:10" customHeight="0">
      <c r="A2992" s="2" t="inlineStr">
        <is>
          <t>Видеокарты</t>
        </is>
      </c>
      <c r="B2992" s="2" t="inlineStr">
        <is>
          <t>ASROCK</t>
        </is>
      </c>
      <c r="C2992" s="2" t="inlineStr">
        <is>
          <t>A770 CL SE 16GO</t>
        </is>
      </c>
      <c r="D2992" s="2" t="inlineStr">
        <is>
          <t>Видеокарта Asrock PCI-E 4.0 A770 CL SE 16GO INTEL ARC A770 16Gb 256bit GDDR6 2150/16000 HDMIx1 DPx3 HDCP Ret</t>
        </is>
      </c>
      <c r="E2992" s="2" t="inlineStr">
        <is>
          <t>+ </t>
        </is>
      </c>
      <c r="F2992" s="2" t="inlineStr">
        <is>
          <t>+ </t>
        </is>
      </c>
      <c r="H2992" s="2">
        <v>413</v>
      </c>
      <c r="I2992" s="2" t="inlineStr">
        <is>
          <t>$</t>
        </is>
      </c>
      <c r="J2992" s="2">
        <f>HYPERLINK("https://app.astro.lead-studio.pro/product/0c7e38cd-8f26-49df-ab86-157542bfc4c8")</f>
      </c>
    </row>
    <row r="2993" spans="1:10" customHeight="0">
      <c r="A2993" s="2" t="inlineStr">
        <is>
          <t>Видеокарты</t>
        </is>
      </c>
      <c r="B2993" s="2" t="inlineStr">
        <is>
          <t>ASROCK</t>
        </is>
      </c>
      <c r="C2993" s="2" t="inlineStr">
        <is>
          <t>RX7600 PG 8GO</t>
        </is>
      </c>
      <c r="D2993" s="2" t="inlineStr">
        <is>
          <t>Видеокарта Asrock PCI-E 4.0 RX7600 PG 8GO AMD Radeon RX 7600 8Gb 128bit GDDR6 2355/18000 HDMIx1 DPx3 HDCP Ret</t>
        </is>
      </c>
      <c r="E2993" s="2" t="inlineStr">
        <is>
          <t>+ </t>
        </is>
      </c>
      <c r="F2993" s="2" t="inlineStr">
        <is>
          <t>+ </t>
        </is>
      </c>
      <c r="H2993" s="2">
        <v>397</v>
      </c>
      <c r="I2993" s="2" t="inlineStr">
        <is>
          <t>$</t>
        </is>
      </c>
      <c r="J2993" s="2">
        <f>HYPERLINK("https://app.astro.lead-studio.pro/product/05b933d3-f09b-40f5-871e-837b46444fdf")</f>
      </c>
    </row>
    <row r="2994" spans="1:10" customHeight="0">
      <c r="A2994" s="2" t="inlineStr">
        <is>
          <t>Видеокарты</t>
        </is>
      </c>
      <c r="B2994" s="2" t="inlineStr">
        <is>
          <t>ASROCK</t>
        </is>
      </c>
      <c r="C2994" s="2" t="inlineStr">
        <is>
          <t>RX7900XT PG 20GO</t>
        </is>
      </c>
      <c r="D2994" s="2" t="inlineStr">
        <is>
          <t>Видеокарта Asrock PCI-E 4.0 RX7900XT PG 20GO AMD Radeon RX 7900XT 20Gb 320bit GDDR6 2075/20000 HDMIx1 DPx3 HDCP Ret</t>
        </is>
      </c>
      <c r="E2994" s="2" t="inlineStr">
        <is>
          <t>+ </t>
        </is>
      </c>
      <c r="F2994" s="2" t="inlineStr">
        <is>
          <t>+ </t>
        </is>
      </c>
      <c r="H2994" s="2">
        <v>1023</v>
      </c>
      <c r="I2994" s="2" t="inlineStr">
        <is>
          <t>$</t>
        </is>
      </c>
      <c r="J2994" s="2">
        <f>HYPERLINK("https://app.astro.lead-studio.pro/product/ae387b8a-5296-4096-bf47-d29f4eca0d3d")</f>
      </c>
    </row>
    <row r="2995" spans="1:10" customHeight="0">
      <c r="A2995" s="2" t="inlineStr">
        <is>
          <t>Видеокарты</t>
        </is>
      </c>
      <c r="B2995" s="2" t="inlineStr">
        <is>
          <t>ASUS</t>
        </is>
      </c>
      <c r="C2995" s="2" t="inlineStr">
        <is>
          <t>DUAL-RTX4060-O8G-EVO</t>
        </is>
      </c>
      <c r="D2995" s="2" t="inlineStr">
        <is>
          <t>Видеокарта Asus PCI-E 4.0 DUAL-RTX4060-O8G-EVO NVIDIA GeForce RTX 4060 8Gb 128bit GDDR6 2505/17000 HDMIx1 DPx3 HDCP Ret</t>
        </is>
      </c>
      <c r="E2995" s="2" t="inlineStr">
        <is>
          <t>+ </t>
        </is>
      </c>
      <c r="F2995" s="2" t="inlineStr">
        <is>
          <t>+ </t>
        </is>
      </c>
      <c r="H2995" s="2">
        <v>408</v>
      </c>
      <c r="I2995" s="2" t="inlineStr">
        <is>
          <t>$</t>
        </is>
      </c>
      <c r="J2995" s="2">
        <f>HYPERLINK("https://app.astro.lead-studio.pro/product/d7681b95-a2fe-4688-aa08-9e38ea33b69d")</f>
      </c>
    </row>
    <row r="2996" spans="1:10" customHeight="0">
      <c r="A2996" s="2" t="inlineStr">
        <is>
          <t>Видеокарты</t>
        </is>
      </c>
      <c r="B2996" s="2" t="inlineStr">
        <is>
          <t>ASUS</t>
        </is>
      </c>
      <c r="C2996" s="2" t="inlineStr">
        <is>
          <t>DUAL-RTX4060TI-O8G-WHITE</t>
        </is>
      </c>
      <c r="D2996" s="2" t="inlineStr">
        <is>
          <t>Видеокарта Asus PCI-E 4.0 DUAL-RTX4060TI-O8G-WHITE NVIDIA GeForce RTX 4060TI 8Gb 128bit GDDR6 2565/18000 HDMIx1 DPx3 HDCP Ret</t>
        </is>
      </c>
      <c r="E2996" s="2" t="inlineStr">
        <is>
          <t>+ </t>
        </is>
      </c>
      <c r="F2996" s="2" t="inlineStr">
        <is>
          <t>+ </t>
        </is>
      </c>
      <c r="H2996" s="2">
        <v>554</v>
      </c>
      <c r="I2996" s="2" t="inlineStr">
        <is>
          <t>$</t>
        </is>
      </c>
      <c r="J2996" s="2">
        <f>HYPERLINK("https://app.astro.lead-studio.pro/product/a08ff257-7bc4-4691-9963-765b556646ae")</f>
      </c>
    </row>
    <row r="2997" spans="1:10" customHeight="0">
      <c r="A2997" s="2" t="inlineStr">
        <is>
          <t>Видеокарты</t>
        </is>
      </c>
      <c r="B2997" s="2" t="inlineStr">
        <is>
          <t>ASUS</t>
        </is>
      </c>
      <c r="C2997" s="2" t="inlineStr">
        <is>
          <t>DUAL-RTX4070-O12GD6-EVO</t>
        </is>
      </c>
      <c r="D2997" s="2" t="inlineStr">
        <is>
          <t>Видеокарта Asus PCI-E 4.0 DUAL-RTX4070-O12GD6-EVO NVIDIA GeForce RTX 4070 12Gb 192bit GDDR6X 2520/21000 HDMIx1 DPx3 HDCP Ret</t>
        </is>
      </c>
      <c r="E2997" s="2" t="inlineStr">
        <is>
          <t>+ </t>
        </is>
      </c>
      <c r="F2997" s="2" t="inlineStr">
        <is>
          <t>+ </t>
        </is>
      </c>
      <c r="H2997" s="2">
        <v>810</v>
      </c>
      <c r="I2997" s="2" t="inlineStr">
        <is>
          <t>$</t>
        </is>
      </c>
      <c r="J2997" s="2">
        <f>HYPERLINK("https://app.astro.lead-studio.pro/product/91d1cbe3-87ca-4a6f-913d-d7927591f1e4")</f>
      </c>
    </row>
    <row r="2998" spans="1:10" customHeight="0">
      <c r="A2998" s="2" t="inlineStr">
        <is>
          <t>Видеокарты</t>
        </is>
      </c>
      <c r="B2998" s="2" t="inlineStr">
        <is>
          <t>ASUS</t>
        </is>
      </c>
      <c r="C2998" s="2" t="inlineStr">
        <is>
          <t>DUAL-RX7900XTX-O24G</t>
        </is>
      </c>
      <c r="D2998" s="2" t="inlineStr">
        <is>
          <t>Видеокарта Asus PCI-E 4.0 DUAL-RX7900XTX-O24G AMD Radeon RX 7900XTX 24Gb 384bit GDDR6 2525/20000 HDMIx1 DPx3 HDCP Ret</t>
        </is>
      </c>
      <c r="E2998" s="2" t="inlineStr">
        <is>
          <t>+ </t>
        </is>
      </c>
      <c r="F2998" s="2" t="inlineStr">
        <is>
          <t>+ </t>
        </is>
      </c>
      <c r="H2998" s="2">
        <v>1425</v>
      </c>
      <c r="I2998" s="2" t="inlineStr">
        <is>
          <t>$</t>
        </is>
      </c>
      <c r="J2998" s="2">
        <f>HYPERLINK("https://app.astro.lead-studio.pro/product/6fc1b69f-6c55-4fee-b201-4e2714aebcc4")</f>
      </c>
    </row>
    <row r="2999" spans="1:10" customHeight="0">
      <c r="A2999" s="2" t="inlineStr">
        <is>
          <t>Видеокарты</t>
        </is>
      </c>
      <c r="B2999" s="2" t="inlineStr">
        <is>
          <t>ASUS</t>
        </is>
      </c>
      <c r="C2999" s="2" t="inlineStr">
        <is>
          <t>PRIME-RTX4070-O12G</t>
        </is>
      </c>
      <c r="D2999" s="2" t="inlineStr">
        <is>
          <t>Видеокарта Asus PCI-E 4.0 PRIME-RTX4070-O12G NVIDIA GeForce RTX 4070 12Gb 192bit GDDR6X 2520/21000 HDMIx1 DPx3 HDCP Ret</t>
        </is>
      </c>
      <c r="E2999" s="2" t="inlineStr">
        <is>
          <t>+ </t>
        </is>
      </c>
      <c r="F2999" s="2" t="inlineStr">
        <is>
          <t>+ </t>
        </is>
      </c>
      <c r="H2999" s="2">
        <v>794</v>
      </c>
      <c r="I2999" s="2" t="inlineStr">
        <is>
          <t>$</t>
        </is>
      </c>
      <c r="J2999" s="2">
        <f>HYPERLINK("https://app.astro.lead-studio.pro/product/f0ee558e-68d4-4172-9012-1a7728c365c5")</f>
      </c>
    </row>
    <row r="3000" spans="1:10" customHeight="0">
      <c r="A3000" s="2" t="inlineStr">
        <is>
          <t>Видеокарты</t>
        </is>
      </c>
      <c r="B3000" s="2" t="inlineStr">
        <is>
          <t>ASUS</t>
        </is>
      </c>
      <c r="C3000" s="2" t="inlineStr">
        <is>
          <t>ROG-STRIX-RTX4070TI-O12G-GAMIN</t>
        </is>
      </c>
      <c r="D3000" s="2" t="inlineStr">
        <is>
          <t>Видеокарта Asus PCI-E 4.0 ROG-STRIX-RTX4070TI-O12G-GAMING NVIDIA GeForce RTX 4070TI 12Gb 192bit GDDR6X 2760/21000 HDMIx2 DPx3 HDCP Ret</t>
        </is>
      </c>
      <c r="E3000" s="2" t="inlineStr">
        <is>
          <t>+ </t>
        </is>
      </c>
      <c r="F3000" s="2" t="inlineStr">
        <is>
          <t>+ </t>
        </is>
      </c>
      <c r="H3000" s="2">
        <v>1448</v>
      </c>
      <c r="I3000" s="2" t="inlineStr">
        <is>
          <t>$</t>
        </is>
      </c>
      <c r="J3000" s="2">
        <f>HYPERLINK("https://app.astro.lead-studio.pro/product/c8674e54-94fc-446e-9163-75d93304535a")</f>
      </c>
    </row>
    <row r="3001" spans="1:10" customHeight="0">
      <c r="A3001" s="2" t="inlineStr">
        <is>
          <t>Видеокарты</t>
        </is>
      </c>
      <c r="B3001" s="2" t="inlineStr">
        <is>
          <t>ASUS</t>
        </is>
      </c>
      <c r="C3001" s="2" t="inlineStr">
        <is>
          <t>ROG-STRIX-RX6700XT-O12G-GAMING</t>
        </is>
      </c>
      <c r="D3001" s="2" t="inlineStr">
        <is>
          <t>Видеокарта Asus PCI-E 4.0 ROG-STRIX-RX6700XT-O12G-GAMING AMD Radeon RX 6700XT 12Gb 192bit GDDR6 2548/16000 HDMIx1 DPx3 HDCP Ret</t>
        </is>
      </c>
      <c r="E3001" s="2" t="inlineStr">
        <is>
          <t>+ </t>
        </is>
      </c>
      <c r="F3001" s="2" t="inlineStr">
        <is>
          <t>+ </t>
        </is>
      </c>
      <c r="H3001" s="2">
        <v>815</v>
      </c>
      <c r="I3001" s="2" t="inlineStr">
        <is>
          <t>$</t>
        </is>
      </c>
      <c r="J3001" s="2">
        <f>HYPERLINK("https://app.astro.lead-studio.pro/product/119e878a-b013-4cf0-abf2-d89025c90565")</f>
      </c>
    </row>
    <row r="3002" spans="1:10" customHeight="0">
      <c r="A3002" s="2" t="inlineStr">
        <is>
          <t>Видеокарты</t>
        </is>
      </c>
      <c r="B3002" s="2" t="inlineStr">
        <is>
          <t>ASUS</t>
        </is>
      </c>
      <c r="C3002" s="2" t="inlineStr">
        <is>
          <t>RTX4060-O8G-LP-BRK</t>
        </is>
      </c>
      <c r="D3002" s="2" t="inlineStr">
        <is>
          <t>Видеокарта Asus PCI-E 4.0 RTX4060-O8G-LP-BRK NVIDIA GeForce RTX 4060 8Gb 128bit GDDR6 2490/17000 HDMIx2 DPx2 HDCP Ret low profile</t>
        </is>
      </c>
      <c r="E3002" s="2" t="inlineStr">
        <is>
          <t>+ </t>
        </is>
      </c>
      <c r="F3002" s="2" t="inlineStr">
        <is>
          <t>+ </t>
        </is>
      </c>
      <c r="H3002" s="2">
        <v>448</v>
      </c>
      <c r="I3002" s="2" t="inlineStr">
        <is>
          <t>$</t>
        </is>
      </c>
      <c r="J3002" s="2">
        <f>HYPERLINK("https://app.astro.lead-studio.pro/product/3e9fb6b3-49a1-4717-9f37-ad9f332fc93c")</f>
      </c>
    </row>
    <row r="3003" spans="1:10" customHeight="0">
      <c r="A3003" s="2" t="inlineStr">
        <is>
          <t>Видеокарты</t>
        </is>
      </c>
      <c r="B3003" s="2" t="inlineStr">
        <is>
          <t>ASUS</t>
        </is>
      </c>
      <c r="C3003" s="2" t="inlineStr">
        <is>
          <t>TUF-RX7900XT-O20G-GAMING</t>
        </is>
      </c>
      <c r="D3003" s="2" t="inlineStr">
        <is>
          <t>Видеокарта Asus PCI-E TUF-RX7900XT-O20G-GAMING AMD Radeon RX 7900XT 20Gb 320bit GDDR6 2175/20000 HDMIx1 DPx3 HDCP Ret</t>
        </is>
      </c>
      <c r="E3003" s="2" t="inlineStr">
        <is>
          <t>+ </t>
        </is>
      </c>
      <c r="F3003" s="2" t="inlineStr">
        <is>
          <t>+ </t>
        </is>
      </c>
      <c r="H3003" s="2">
        <v>1067</v>
      </c>
      <c r="I3003" s="2" t="inlineStr">
        <is>
          <t>$</t>
        </is>
      </c>
      <c r="J3003" s="2">
        <f>HYPERLINK("https://app.astro.lead-studio.pro/product/8880733d-a0cc-4da5-9e3d-1809cec9c3e6")</f>
      </c>
    </row>
    <row r="3004" spans="1:10" customHeight="0">
      <c r="A3004" s="2" t="inlineStr">
        <is>
          <t>Видеокарты</t>
        </is>
      </c>
      <c r="B3004" s="2" t="inlineStr">
        <is>
          <t>BIOSTAR</t>
        </is>
      </c>
      <c r="C3004" s="2" t="inlineStr">
        <is>
          <t>VN3706RM82</t>
        </is>
      </c>
      <c r="D3004" s="2" t="inlineStr">
        <is>
          <t>Видеокарта Biostar PCI-E 4.0 RTX3070-8GB LHR NVIDIA GeForce RTX 3070 8Gb 256bit GDDR6 1500/14000 HDMIx1 DPx3 HDCP Ret</t>
        </is>
      </c>
      <c r="E3004" s="2" t="inlineStr">
        <is>
          <t>+ </t>
        </is>
      </c>
      <c r="F3004" s="2" t="inlineStr">
        <is>
          <t>+ </t>
        </is>
      </c>
      <c r="H3004" s="2">
        <v>545</v>
      </c>
      <c r="I3004" s="2" t="inlineStr">
        <is>
          <t>$</t>
        </is>
      </c>
      <c r="J3004" s="2">
        <f>HYPERLINK("https://app.astro.lead-studio.pro/product/c06f218d-1513-42f0-8f59-1a77729550bf")</f>
      </c>
    </row>
    <row r="3005" spans="1:10" customHeight="0">
      <c r="A3005" s="2" t="inlineStr">
        <is>
          <t>Видеокарты</t>
        </is>
      </c>
      <c r="B3005" s="2" t="inlineStr">
        <is>
          <t>BIOSTAR</t>
        </is>
      </c>
      <c r="C3005" s="2" t="inlineStr">
        <is>
          <t>VA6656TM81</t>
        </is>
      </c>
      <c r="D3005" s="2" t="inlineStr">
        <is>
          <t>Видеокарта Biostar PCI-E 4.0 VA6656TM81 AMD Radeon RX 6650XT 8Gb 128bit GDDR6 2410/17500 HDMIx1 DPx3 HDCP Ret</t>
        </is>
      </c>
      <c r="E3005" s="2" t="inlineStr">
        <is>
          <t>+ </t>
        </is>
      </c>
      <c r="F3005" s="2" t="inlineStr">
        <is>
          <t>+ </t>
        </is>
      </c>
      <c r="H3005" s="2">
        <v>337</v>
      </c>
      <c r="I3005" s="2" t="inlineStr">
        <is>
          <t>$</t>
        </is>
      </c>
      <c r="J3005" s="2">
        <f>HYPERLINK("https://app.astro.lead-studio.pro/product/74fe7ad4-9965-4a53-982a-473e0ba48175")</f>
      </c>
    </row>
    <row r="3006" spans="1:10" customHeight="0">
      <c r="A3006" s="2" t="inlineStr">
        <is>
          <t>Видеокарты</t>
        </is>
      </c>
      <c r="B3006" s="2" t="inlineStr">
        <is>
          <t>BIOSTAR</t>
        </is>
      </c>
      <c r="C3006" s="2" t="inlineStr">
        <is>
          <t>VA76S6RM81</t>
        </is>
      </c>
      <c r="D3006" s="2" t="inlineStr">
        <is>
          <t>Видеокарта Biostar PCI-E 4.0 VA76S6RM81 RX7600 OC AMD Radeon RX 7600 8Gb 128bit GDDR6 2318/18000 HDMIx1 DPx3 HDCP Ret</t>
        </is>
      </c>
      <c r="E3006" s="2" t="inlineStr">
        <is>
          <t>+ </t>
        </is>
      </c>
      <c r="F3006" s="2" t="inlineStr">
        <is>
          <t>+ </t>
        </is>
      </c>
      <c r="H3006" s="2">
        <v>358</v>
      </c>
      <c r="I3006" s="2" t="inlineStr">
        <is>
          <t>$</t>
        </is>
      </c>
      <c r="J3006" s="2">
        <f>HYPERLINK("https://app.astro.lead-studio.pro/product/3038d099-c318-4133-9a06-8c7ddf8872a0")</f>
      </c>
    </row>
    <row r="3007" spans="1:10" customHeight="0">
      <c r="A3007" s="2" t="inlineStr">
        <is>
          <t>Видеокарты</t>
        </is>
      </c>
      <c r="B3007" s="2" t="inlineStr">
        <is>
          <t>GIGABYTE</t>
        </is>
      </c>
      <c r="C3007" s="2" t="inlineStr">
        <is>
          <t>GV-N3060GAMING OC-12GD 2.0</t>
        </is>
      </c>
      <c r="D3007" s="2" t="inlineStr">
        <is>
          <t>Видеокарта Gigabyte PCI-E 4.0 GV-N3060GAMING OC-12GD 2.0 LHR NVIDIA GeForce RTX 3060 12Gb 192bit GDDR6 1837/15000 HDMIx2 DPx2 HDCP Ret</t>
        </is>
      </c>
      <c r="E3007" s="2" t="inlineStr">
        <is>
          <t>+ </t>
        </is>
      </c>
      <c r="F3007" s="2" t="inlineStr">
        <is>
          <t>+ </t>
        </is>
      </c>
      <c r="H3007" s="2">
        <v>394</v>
      </c>
      <c r="I3007" s="2" t="inlineStr">
        <is>
          <t>$</t>
        </is>
      </c>
      <c r="J3007" s="2">
        <f>HYPERLINK("https://app.astro.lead-studio.pro/product/5e332d0e-8335-4f87-a4fd-0eacd609208b")</f>
      </c>
    </row>
    <row r="3008" spans="1:10" customHeight="0">
      <c r="A3008" s="2" t="inlineStr">
        <is>
          <t>Видеокарты</t>
        </is>
      </c>
      <c r="B3008" s="2" t="inlineStr">
        <is>
          <t>GIGABYTE</t>
        </is>
      </c>
      <c r="C3008" s="2" t="inlineStr">
        <is>
          <t>GV-N3060WF2OC-12GD 2.0</t>
        </is>
      </c>
      <c r="D3008" s="2" t="inlineStr">
        <is>
          <t>Видеокарта Gigabyte PCI-E 4.0 GV-N3060WF2OC-12GD 2.0 NVIDIA GeForce RTX 3060 12Gb 192bit GDDR6 1792/15000 HDMIx2 DPx2 HDCP Ret</t>
        </is>
      </c>
      <c r="E3008" s="2" t="inlineStr">
        <is>
          <t>+++ </t>
        </is>
      </c>
      <c r="F3008" s="2" t="inlineStr">
        <is>
          <t>+++ </t>
        </is>
      </c>
      <c r="H3008" s="2">
        <v>370</v>
      </c>
      <c r="I3008" s="2" t="inlineStr">
        <is>
          <t>$</t>
        </is>
      </c>
      <c r="J3008" s="2">
        <f>HYPERLINK("https://app.astro.lead-studio.pro/product/b5d88a92-387d-454d-b3cf-226e78cf06d0")</f>
      </c>
    </row>
    <row r="3009" spans="1:10" customHeight="0">
      <c r="A3009" s="2" t="inlineStr">
        <is>
          <t>Видеокарты</t>
        </is>
      </c>
      <c r="B3009" s="2" t="inlineStr">
        <is>
          <t>GIGABYTE</t>
        </is>
      </c>
      <c r="C3009" s="2" t="inlineStr">
        <is>
          <t>GV-N4060D6-8GL</t>
        </is>
      </c>
      <c r="D3009" s="2" t="inlineStr">
        <is>
          <t>Видеокарта Gigabyte PCI-E 4.0 GV-N4060D6-8GL NVIDIA GeForce RTX 4060 8Gb 128bit GDDR6 2460/17000 HDMIx2 DPx2 HDCP Ret low profile</t>
        </is>
      </c>
      <c r="E3009" s="2" t="inlineStr">
        <is>
          <t>++ </t>
        </is>
      </c>
      <c r="F3009" s="2" t="inlineStr">
        <is>
          <t>++ </t>
        </is>
      </c>
      <c r="H3009" s="2">
        <v>408</v>
      </c>
      <c r="I3009" s="2" t="inlineStr">
        <is>
          <t>$</t>
        </is>
      </c>
      <c r="J3009" s="2">
        <f>HYPERLINK("https://app.astro.lead-studio.pro/product/72503d0a-3d76-47f5-a6b7-04d06b053052")</f>
      </c>
    </row>
    <row r="3010" spans="1:10" customHeight="0">
      <c r="A3010" s="2" t="inlineStr">
        <is>
          <t>Видеокарты</t>
        </is>
      </c>
      <c r="B3010" s="2" t="inlineStr">
        <is>
          <t>GIGABYTE</t>
        </is>
      </c>
      <c r="C3010" s="2" t="inlineStr">
        <is>
          <t>GV-N4060GAMING OC-8GD</t>
        </is>
      </c>
      <c r="D3010" s="2" t="inlineStr">
        <is>
          <t>Видеокарта Gigabyte PCI-E 4.0 GV-N4060GAMING OC-8GD NVIDIA GeForce RTX 4060 8Gb 128bit GDDR6 2550/17000 HDMIx2 DPx2 HDCP Ret</t>
        </is>
      </c>
      <c r="E3010" s="2" t="inlineStr">
        <is>
          <t>+++ </t>
        </is>
      </c>
      <c r="F3010" s="2" t="inlineStr">
        <is>
          <t>+++ </t>
        </is>
      </c>
      <c r="H3010" s="2">
        <v>436</v>
      </c>
      <c r="I3010" s="2" t="inlineStr">
        <is>
          <t>$</t>
        </is>
      </c>
      <c r="J3010" s="2">
        <f>HYPERLINK("https://app.astro.lead-studio.pro/product/36d1b0c2-d70f-40a2-9744-8443e99dc941")</f>
      </c>
    </row>
    <row r="3011" spans="1:10" customHeight="0">
      <c r="A3011" s="2" t="inlineStr">
        <is>
          <t>Видеокарты</t>
        </is>
      </c>
      <c r="B3011" s="2" t="inlineStr">
        <is>
          <t>GIGABYTE</t>
        </is>
      </c>
      <c r="C3011" s="2" t="inlineStr">
        <is>
          <t>GV-N4060OC-8GL</t>
        </is>
      </c>
      <c r="D3011" s="2" t="inlineStr">
        <is>
          <t>Видеокарта Gigabyte PCI-E 4.0 GV-N4060OC-8GL NVIDIA GeForce RTX 4060 8Gb 128bit GDDR6 2475/17000 HDMIx2 DPx2 HDCP Ret</t>
        </is>
      </c>
      <c r="E3011" s="2" t="inlineStr">
        <is>
          <t>+++ </t>
        </is>
      </c>
      <c r="F3011" s="2" t="inlineStr">
        <is>
          <t>+++ </t>
        </is>
      </c>
      <c r="H3011" s="2">
        <v>404</v>
      </c>
      <c r="I3011" s="2" t="inlineStr">
        <is>
          <t>$</t>
        </is>
      </c>
      <c r="J3011" s="2">
        <f>HYPERLINK("https://app.astro.lead-studio.pro/product/a10b3722-eb56-4431-8c8a-0d9d37b8f14e")</f>
      </c>
    </row>
    <row r="3012" spans="1:10" customHeight="0">
      <c r="A3012" s="2" t="inlineStr">
        <is>
          <t>Видеокарты</t>
        </is>
      </c>
      <c r="B3012" s="2" t="inlineStr">
        <is>
          <t>GIGABYTE</t>
        </is>
      </c>
      <c r="C3012" s="2" t="inlineStr">
        <is>
          <t>GV-N406TAORUS E-8GD</t>
        </is>
      </c>
      <c r="D3012" s="2" t="inlineStr">
        <is>
          <t>Видеокарта Gigabyte PCI-E 4.0 GV-N406TAORUS E-8GD NVIDIA GeForce RTX 4060TI 8Gb 128bit GDDR6 2655/18000 HDMIx2 DPx2 HDCP Ret</t>
        </is>
      </c>
      <c r="E3012" s="2" t="inlineStr">
        <is>
          <t>+ </t>
        </is>
      </c>
      <c r="F3012" s="2" t="inlineStr">
        <is>
          <t>+ </t>
        </is>
      </c>
      <c r="H3012" s="2">
        <v>660</v>
      </c>
      <c r="I3012" s="2" t="inlineStr">
        <is>
          <t>$</t>
        </is>
      </c>
      <c r="J3012" s="2">
        <f>HYPERLINK("https://app.astro.lead-studio.pro/product/e6ef2db8-04ed-47a4-a199-f539bec46311")</f>
      </c>
    </row>
    <row r="3013" spans="1:10" customHeight="0">
      <c r="A3013" s="2" t="inlineStr">
        <is>
          <t>Видеокарты</t>
        </is>
      </c>
      <c r="B3013" s="2" t="inlineStr">
        <is>
          <t>GIGABYTE</t>
        </is>
      </c>
      <c r="C3013" s="2" t="inlineStr">
        <is>
          <t>GV-N406TWF2OC-8GD</t>
        </is>
      </c>
      <c r="D3013" s="2" t="inlineStr">
        <is>
          <t>Видеокарта Gigabyte PCI-E 4.0 GV-N406TWF2OC-8GD NVIDIA GeForce RTX 4060TI 8Gb 128bit GDDR6 2550/18000 HDMIx2 DPx2 HDCP Ret</t>
        </is>
      </c>
      <c r="E3013" s="2" t="inlineStr">
        <is>
          <t>+ </t>
        </is>
      </c>
      <c r="F3013" s="2" t="inlineStr">
        <is>
          <t>+ </t>
        </is>
      </c>
      <c r="H3013" s="2">
        <v>544</v>
      </c>
      <c r="I3013" s="2" t="inlineStr">
        <is>
          <t>$</t>
        </is>
      </c>
      <c r="J3013" s="2">
        <f>HYPERLINK("https://app.astro.lead-studio.pro/product/5a1f8221-dbe6-49f5-a23b-e5d3ec63b22f")</f>
      </c>
    </row>
    <row r="3014" spans="1:10" customHeight="0">
      <c r="A3014" s="2" t="inlineStr">
        <is>
          <t>Видеокарты</t>
        </is>
      </c>
      <c r="B3014" s="2" t="inlineStr">
        <is>
          <t>GIGABYTE</t>
        </is>
      </c>
      <c r="C3014" s="2" t="inlineStr">
        <is>
          <t>GV-N4070WF2V2-12GD</t>
        </is>
      </c>
      <c r="D3014" s="2" t="inlineStr">
        <is>
          <t>Видеокарта Gigabyte PCI-E 4.0 GV-N4070WF2V2-12GD NVIDIA GeForce RTX 4070 12Gb 192bit GDDR6 2475/20000 HDMIx1 DPx3 HDCP Ret</t>
        </is>
      </c>
      <c r="E3014" s="2" t="inlineStr">
        <is>
          <t>+ </t>
        </is>
      </c>
      <c r="F3014" s="2" t="inlineStr">
        <is>
          <t>+ </t>
        </is>
      </c>
      <c r="H3014" s="2">
        <v>759</v>
      </c>
      <c r="I3014" s="2" t="inlineStr">
        <is>
          <t>$</t>
        </is>
      </c>
      <c r="J3014" s="2">
        <f>HYPERLINK("https://app.astro.lead-studio.pro/product/a383d2e0-5ab9-4009-8c51-86aeadf886de")</f>
      </c>
    </row>
    <row r="3015" spans="1:10" customHeight="0">
      <c r="A3015" s="2" t="inlineStr">
        <is>
          <t>Видеокарты</t>
        </is>
      </c>
      <c r="B3015" s="2" t="inlineStr">
        <is>
          <t>GIGABYTE</t>
        </is>
      </c>
      <c r="C3015" s="2" t="inlineStr">
        <is>
          <t>GV-N407TSAI TOP-16GD</t>
        </is>
      </c>
      <c r="D3015" s="2" t="inlineStr">
        <is>
          <t>Видеокарта Gigabyte PCI-E 4.0 GV-N407TSAI TOP-16GD NVIDIA GeForce RTX 4070TI Super 16Gb 256bit GDDR6X 2610/21000 HDMIx1 DPx3 HDCP Ret</t>
        </is>
      </c>
      <c r="E3015" s="2" t="inlineStr">
        <is>
          <t>+ </t>
        </is>
      </c>
      <c r="F3015" s="2" t="inlineStr">
        <is>
          <t>+ </t>
        </is>
      </c>
      <c r="H3015" s="2">
        <v>1257</v>
      </c>
      <c r="I3015" s="2" t="inlineStr">
        <is>
          <t>$</t>
        </is>
      </c>
      <c r="J3015" s="2">
        <f>HYPERLINK("https://app.astro.lead-studio.pro/product/4fdc6222-03bd-4de8-a392-d7ba1a2d7d80")</f>
      </c>
    </row>
    <row r="3016" spans="1:10" customHeight="0">
      <c r="A3016" s="2" t="inlineStr">
        <is>
          <t>Видеокарты</t>
        </is>
      </c>
      <c r="B3016" s="2" t="inlineStr">
        <is>
          <t>GIGABYTE</t>
        </is>
      </c>
      <c r="C3016" s="2" t="inlineStr">
        <is>
          <t>GV-R66EAGLE-8GD</t>
        </is>
      </c>
      <c r="D3016" s="2" t="inlineStr">
        <is>
          <t>Видеокарта Gigabyte PCI-E 4.0 GV-R66EAGLE-8GD AMD Radeon RX 6600 8Gb 128bit GDDR6 2044/14000 HDMIx2 DPx2 HDCP Ret</t>
        </is>
      </c>
      <c r="E3016" s="2" t="inlineStr">
        <is>
          <t>+ </t>
        </is>
      </c>
      <c r="F3016" s="2" t="inlineStr">
        <is>
          <t>+ </t>
        </is>
      </c>
      <c r="H3016" s="2">
        <v>389</v>
      </c>
      <c r="I3016" s="2" t="inlineStr">
        <is>
          <t>$</t>
        </is>
      </c>
      <c r="J3016" s="2">
        <f>HYPERLINK("https://app.astro.lead-studio.pro/product/1945ead4-482d-4560-96f1-3dbd34ef5947")</f>
      </c>
    </row>
    <row r="3017" spans="1:10" customHeight="0">
      <c r="A3017" s="2" t="inlineStr">
        <is>
          <t>Видеокарты</t>
        </is>
      </c>
      <c r="B3017" s="2" t="inlineStr">
        <is>
          <t>GIGABYTE</t>
        </is>
      </c>
      <c r="C3017" s="2" t="inlineStr">
        <is>
          <t>GV-R76GAMING OC-8GD</t>
        </is>
      </c>
      <c r="D3017" s="2" t="inlineStr">
        <is>
          <t>Видеокарта Gigabyte PCI-E 4.0 GV-R76GAMING OC-8GD AMD Radeon RX 7600 8Gb 128bit GDDR6 2355/18000 HDMIx2 DPx2 HDCP Ret</t>
        </is>
      </c>
      <c r="E3017" s="2" t="inlineStr">
        <is>
          <t>+++ </t>
        </is>
      </c>
      <c r="F3017" s="2" t="inlineStr">
        <is>
          <t>+++ </t>
        </is>
      </c>
      <c r="H3017" s="2">
        <v>371</v>
      </c>
      <c r="I3017" s="2" t="inlineStr">
        <is>
          <t>$</t>
        </is>
      </c>
      <c r="J3017" s="2">
        <f>HYPERLINK("https://app.astro.lead-studio.pro/product/09128ee9-a95f-4c26-8a08-309fbda9a128")</f>
      </c>
    </row>
    <row r="3018" spans="1:10" customHeight="0">
      <c r="A3018" s="2" t="inlineStr">
        <is>
          <t>Видеокарты</t>
        </is>
      </c>
      <c r="B3018" s="2" t="inlineStr">
        <is>
          <t>MSI</t>
        </is>
      </c>
      <c r="C3018" s="2" t="inlineStr">
        <is>
          <t>RTX 3050 AERO ITX 8G OCV2</t>
        </is>
      </c>
      <c r="D3018" s="2" t="inlineStr">
        <is>
          <t>Видеокарта MSI PCI-E 4.0 RTX 3050 AERO ITX 8G OCV2 NVIDIA GeForce RTX 3050 8Gb 128bit GDDR6 1807/14000 DVIx1 HDMIx1 DPx1 HDCP Ret</t>
        </is>
      </c>
      <c r="E3018" s="2" t="inlineStr">
        <is>
          <t>+ </t>
        </is>
      </c>
      <c r="F3018" s="2" t="inlineStr">
        <is>
          <t>+ </t>
        </is>
      </c>
      <c r="H3018" s="2">
        <v>388</v>
      </c>
      <c r="I3018" s="2" t="inlineStr">
        <is>
          <t>$</t>
        </is>
      </c>
      <c r="J3018" s="2">
        <f>HYPERLINK("https://app.astro.lead-studio.pro/product/a84a80be-68c6-41d6-90c6-d2a015209059")</f>
      </c>
    </row>
    <row r="3019" spans="1:10" customHeight="0">
      <c r="A3019" s="2" t="inlineStr">
        <is>
          <t>Видеокарты</t>
        </is>
      </c>
      <c r="B3019" s="2" t="inlineStr">
        <is>
          <t>MSI</t>
        </is>
      </c>
      <c r="C3019" s="2" t="inlineStr">
        <is>
          <t>RTX 3060 VENTUS 2X 8G OC</t>
        </is>
      </c>
      <c r="D3019" s="2" t="inlineStr">
        <is>
          <t>Видеокарта MSI PCI-E 4.0 RTX 3060 VENTUS 2X 8G OC NVIDIA GeForce RTX 3060 8Gb 128bit GDDR6 1807/15000 HDMIx1 DPx3 HDCP Ret</t>
        </is>
      </c>
      <c r="E3019" s="2" t="inlineStr">
        <is>
          <t>+ </t>
        </is>
      </c>
      <c r="F3019" s="2" t="inlineStr">
        <is>
          <t>+ </t>
        </is>
      </c>
      <c r="H3019" s="2">
        <v>388</v>
      </c>
      <c r="I3019" s="2" t="inlineStr">
        <is>
          <t>$</t>
        </is>
      </c>
      <c r="J3019" s="2">
        <f>HYPERLINK("https://app.astro.lead-studio.pro/product/5bd7c5dc-1d3e-4ba5-8aae-13da19061836")</f>
      </c>
    </row>
    <row r="3020" spans="1:10" customHeight="0">
      <c r="A3020" s="2" t="inlineStr">
        <is>
          <t>Видеокарты</t>
        </is>
      </c>
      <c r="B3020" s="2" t="inlineStr">
        <is>
          <t>MSI</t>
        </is>
      </c>
      <c r="C3020" s="2" t="inlineStr">
        <is>
          <t>RTX 4060 AERO ITX 8G OC</t>
        </is>
      </c>
      <c r="D3020" s="2" t="inlineStr">
        <is>
          <t>Видеокарта MSI PCI-E 4.0 RTX 4060 AERO ITX 8G OC NVIDIA GeForce RTX 4060 8Gb 128bit GDDR6 2490/17000 HDMIx1 DPx3 HDCP Ret</t>
        </is>
      </c>
      <c r="E3020" s="2" t="inlineStr">
        <is>
          <t>+++ </t>
        </is>
      </c>
      <c r="F3020" s="2" t="inlineStr">
        <is>
          <t>+++ </t>
        </is>
      </c>
      <c r="H3020" s="2">
        <v>404</v>
      </c>
      <c r="I3020" s="2" t="inlineStr">
        <is>
          <t>$</t>
        </is>
      </c>
      <c r="J3020" s="2">
        <f>HYPERLINK("https://app.astro.lead-studio.pro/product/6bcf32fa-4700-4b1d-9fc3-3553d344bcc9")</f>
      </c>
    </row>
    <row r="3021" spans="1:10" customHeight="0">
      <c r="A3021" s="2" t="inlineStr">
        <is>
          <t>Видеокарты</t>
        </is>
      </c>
      <c r="B3021" s="2" t="inlineStr">
        <is>
          <t>MSI</t>
        </is>
      </c>
      <c r="C3021" s="2" t="inlineStr">
        <is>
          <t>RTX 4060 GAMING 8G</t>
        </is>
      </c>
      <c r="D3021" s="2" t="inlineStr">
        <is>
          <t>Видеокарта MSI PCI-E 4.0 RTX 4060 GAMING 8G NVIDIA GeForce RTX 4060 8Gb 128bit GDDR6 2460/17000 HDMIx1 DPx3 HDCP Ret</t>
        </is>
      </c>
      <c r="E3021" s="2" t="inlineStr">
        <is>
          <t>+ </t>
        </is>
      </c>
      <c r="F3021" s="2" t="inlineStr">
        <is>
          <t>+ </t>
        </is>
      </c>
      <c r="H3021" s="2">
        <v>434</v>
      </c>
      <c r="I3021" s="2" t="inlineStr">
        <is>
          <t>$</t>
        </is>
      </c>
      <c r="J3021" s="2">
        <f>HYPERLINK("https://app.astro.lead-studio.pro/product/1af605f9-6726-46d5-b375-95c89ec24664")</f>
      </c>
    </row>
    <row r="3022" spans="1:10" customHeight="0">
      <c r="A3022" s="2" t="inlineStr">
        <is>
          <t>Видеокарты</t>
        </is>
      </c>
      <c r="B3022" s="2" t="inlineStr">
        <is>
          <t>MSI</t>
        </is>
      </c>
      <c r="C3022" s="2" t="inlineStr">
        <is>
          <t>RTX 4060 GAMING X 8G</t>
        </is>
      </c>
      <c r="D3022" s="2" t="inlineStr">
        <is>
          <t>Видеокарта MSI PCI-E 4.0 RTX 4060 GAMING X 8G NVIDIA GeForce RTX 4060 8Gb 128bit GDDR6 2595/17000 HDMIx1 DPx3 HDCP Ret</t>
        </is>
      </c>
      <c r="E3022" s="2" t="inlineStr">
        <is>
          <t>+ </t>
        </is>
      </c>
      <c r="F3022" s="2" t="inlineStr">
        <is>
          <t>+ </t>
        </is>
      </c>
      <c r="H3022" s="2">
        <v>443</v>
      </c>
      <c r="I3022" s="2" t="inlineStr">
        <is>
          <t>$</t>
        </is>
      </c>
      <c r="J3022" s="2">
        <f>HYPERLINK("https://app.astro.lead-studio.pro/product/28cd8318-33b6-43bf-9cc5-826eb6ed8e6a")</f>
      </c>
    </row>
    <row r="3023" spans="1:10" customHeight="0">
      <c r="A3023" s="2" t="inlineStr">
        <is>
          <t>Видеокарты</t>
        </is>
      </c>
      <c r="B3023" s="2" t="inlineStr">
        <is>
          <t>MSI</t>
        </is>
      </c>
      <c r="C3023" s="2" t="inlineStr">
        <is>
          <t>RTX 4060 TI 8G VENTUS 2X BL E1</t>
        </is>
      </c>
      <c r="D3023" s="2" t="inlineStr">
        <is>
          <t>Видеокарта MSI PCI-E 4.0 RTX 4060 Ti 8G VENTUS 2X BLACK E1 NVIDIA GeForce RTX 4060TI 8Gb 128bit GDDR6 2535/18000 HDMIx1 DPx3 HDCP Ret</t>
        </is>
      </c>
      <c r="E3023" s="2" t="inlineStr">
        <is>
          <t>+ </t>
        </is>
      </c>
      <c r="F3023" s="2" t="inlineStr">
        <is>
          <t>+ </t>
        </is>
      </c>
      <c r="H3023" s="2">
        <v>602</v>
      </c>
      <c r="I3023" s="2" t="inlineStr">
        <is>
          <t>$</t>
        </is>
      </c>
      <c r="J3023" s="2">
        <f>HYPERLINK("https://app.astro.lead-studio.pro/product/8e5c3aac-e236-422b-a6c7-2bef2152e58d")</f>
      </c>
    </row>
    <row r="3024" spans="1:10" customHeight="0">
      <c r="A3024" s="2" t="inlineStr">
        <is>
          <t>Видеокарты</t>
        </is>
      </c>
      <c r="B3024" s="2" t="inlineStr">
        <is>
          <t>MSI</t>
        </is>
      </c>
      <c r="C3024" s="2" t="inlineStr">
        <is>
          <t>RTX 4060 TI GAMING 8G</t>
        </is>
      </c>
      <c r="D3024" s="2" t="inlineStr">
        <is>
          <t>Видеокарта MSI PCI-E 4.0 RTX 4060 Ti GAMING 8G NVIDIA GeForce RTX 4060TI 8Gb 128bit GDDR6 2550/18000 HDMIx1 DPx3 HDCP Ret</t>
        </is>
      </c>
      <c r="E3024" s="2" t="inlineStr">
        <is>
          <t>+ </t>
        </is>
      </c>
      <c r="F3024" s="2" t="inlineStr">
        <is>
          <t>+ </t>
        </is>
      </c>
      <c r="H3024" s="2">
        <v>567</v>
      </c>
      <c r="I3024" s="2" t="inlineStr">
        <is>
          <t>$</t>
        </is>
      </c>
      <c r="J3024" s="2">
        <f>HYPERLINK("https://app.astro.lead-studio.pro/product/ccad0e9e-561b-46b8-ac13-beeaa2ce6685")</f>
      </c>
    </row>
    <row r="3025" spans="1:10" customHeight="0">
      <c r="A3025" s="2" t="inlineStr">
        <is>
          <t>Видеокарты</t>
        </is>
      </c>
      <c r="B3025" s="2" t="inlineStr">
        <is>
          <t>MSI</t>
        </is>
      </c>
      <c r="C3025" s="2" t="inlineStr">
        <is>
          <t>RTX 4060 TI GAMING X 8G</t>
        </is>
      </c>
      <c r="D3025" s="2" t="inlineStr">
        <is>
          <t>Видеокарта MSI PCI-E 4.0 RTX 4060 Ti GAMING X 8G NVIDIA GeForce RTX 4060TI 8Gb 128bit GDDR6 2640/18000 HDMIx1 DPx3 HDCP Ret</t>
        </is>
      </c>
      <c r="E3025" s="2" t="inlineStr">
        <is>
          <t>++ </t>
        </is>
      </c>
      <c r="F3025" s="2" t="inlineStr">
        <is>
          <t>++ </t>
        </is>
      </c>
      <c r="H3025" s="2">
        <v>570</v>
      </c>
      <c r="I3025" s="2" t="inlineStr">
        <is>
          <t>$</t>
        </is>
      </c>
      <c r="J3025" s="2">
        <f>HYPERLINK("https://app.astro.lead-studio.pro/product/818f4675-b077-4198-b5aa-1b9aed3e83f3")</f>
      </c>
    </row>
    <row r="3026" spans="1:10" customHeight="0">
      <c r="A3026" s="2" t="inlineStr">
        <is>
          <t>Видеокарты</t>
        </is>
      </c>
      <c r="B3026" s="2" t="inlineStr">
        <is>
          <t>MSI</t>
        </is>
      </c>
      <c r="C3026" s="2" t="inlineStr">
        <is>
          <t>RTX 4060 TI VENTUS 2X BLACK OC</t>
        </is>
      </c>
      <c r="D3026" s="2" t="inlineStr">
        <is>
          <t>Видеокарта MSI PCI-E 4.0 RTX 4060 Ti VENTUS 2X BLACK 8G OC NVIDIA GeForce RTX 4060TI 8Gb 128bit GDDR6 2565/18000 HDMIx1 DPx3 HDCP Ret</t>
        </is>
      </c>
      <c r="E3026" s="2" t="inlineStr">
        <is>
          <t>+ </t>
        </is>
      </c>
      <c r="F3026" s="2" t="inlineStr">
        <is>
          <t>+ </t>
        </is>
      </c>
      <c r="H3026" s="2">
        <v>548</v>
      </c>
      <c r="I3026" s="2" t="inlineStr">
        <is>
          <t>$</t>
        </is>
      </c>
      <c r="J3026" s="2">
        <f>HYPERLINK("https://app.astro.lead-studio.pro/product/81047a8b-db7e-4063-8077-4f58b0b61b01")</f>
      </c>
    </row>
    <row r="3027" spans="1:10" customHeight="0">
      <c r="A3027" s="2" t="inlineStr">
        <is>
          <t>Видеокарты</t>
        </is>
      </c>
      <c r="B3027" s="2" t="inlineStr">
        <is>
          <t>MSI</t>
        </is>
      </c>
      <c r="C3027" s="2" t="inlineStr">
        <is>
          <t>RTX 4070 TI SUPER 16G GAMING S</t>
        </is>
      </c>
      <c r="D3027" s="2" t="inlineStr">
        <is>
          <t>Видеокарта MSI PCI-E 4.0 RTX 4070 Ti SUPER 16G GAMING SLIM NVIDIA GeForce RTX 4070TI Super 16Gb 256bit GDDR6X 2610/21000 HDMIx1 DPx3 HDCP Ret</t>
        </is>
      </c>
      <c r="E3027" s="2" t="inlineStr">
        <is>
          <t>+ </t>
        </is>
      </c>
      <c r="F3027" s="2" t="inlineStr">
        <is>
          <t>+ </t>
        </is>
      </c>
      <c r="H3027" s="2">
        <v>1259</v>
      </c>
      <c r="I3027" s="2" t="inlineStr">
        <is>
          <t>$</t>
        </is>
      </c>
      <c r="J3027" s="2">
        <f>HYPERLINK("https://app.astro.lead-studio.pro/product/d669c5da-11ed-43fb-830a-af73fae82152")</f>
      </c>
    </row>
    <row r="3028" spans="1:10" customHeight="0">
      <c r="A3028" s="2" t="inlineStr">
        <is>
          <t>Видеокарты</t>
        </is>
      </c>
      <c r="B3028" s="2" t="inlineStr">
        <is>
          <t>MSI</t>
        </is>
      </c>
      <c r="C3028" s="2" t="inlineStr">
        <is>
          <t>RTX 4070 TI SUPER 16G SH 3X OC</t>
        </is>
      </c>
      <c r="D3028" s="2" t="inlineStr">
        <is>
          <t>Видеокарта MSI PCI-E 4.0 RTX 4070 Ti SUPER 16G SHADOW 3X OC NVIDIA GeForce RTX 4070TI Super 16Gb 256bit GDDR6X 2640/21000 HDMIx1 DPx3 HDCP Ret</t>
        </is>
      </c>
      <c r="E3028" s="2" t="inlineStr">
        <is>
          <t>+ </t>
        </is>
      </c>
      <c r="F3028" s="2" t="inlineStr">
        <is>
          <t>+ </t>
        </is>
      </c>
      <c r="H3028" s="2">
        <v>1241</v>
      </c>
      <c r="I3028" s="2" t="inlineStr">
        <is>
          <t>$</t>
        </is>
      </c>
      <c r="J3028" s="2">
        <f>HYPERLINK("https://app.astro.lead-studio.pro/product/5c203f57-4439-42ed-a25d-5064e670922d")</f>
      </c>
    </row>
    <row r="3029" spans="1:10" customHeight="0">
      <c r="A3029" s="2" t="inlineStr">
        <is>
          <t>Видеокарты</t>
        </is>
      </c>
      <c r="B3029" s="2" t="inlineStr">
        <is>
          <t>MSI</t>
        </is>
      </c>
      <c r="C3029" s="2" t="inlineStr">
        <is>
          <t>RTX 4070 TI SUPER16GVENTUS2XOC</t>
        </is>
      </c>
      <c r="D3029" s="2" t="inlineStr">
        <is>
          <t>Видеокарта MSI PCI-E 4.0 RTX 4070 Ti SUPER 16G VENTUS 2X OC NVIDIA GeForce RTX 4070TI Super 16Gb 256bit GDDR6X 2640/21000 HDMIx1 DPx3 HDCP Ret</t>
        </is>
      </c>
      <c r="E3029" s="2" t="inlineStr">
        <is>
          <t>+ </t>
        </is>
      </c>
      <c r="F3029" s="2" t="inlineStr">
        <is>
          <t>+ </t>
        </is>
      </c>
      <c r="H3029" s="2">
        <v>1083</v>
      </c>
      <c r="I3029" s="2" t="inlineStr">
        <is>
          <t>$</t>
        </is>
      </c>
      <c r="J3029" s="2">
        <f>HYPERLINK("https://app.astro.lead-studio.pro/product/f34a4385-71ff-49b0-bfed-63087ef8387c")</f>
      </c>
    </row>
    <row r="3030" spans="1:10" customHeight="0">
      <c r="A3030" s="2" t="inlineStr">
        <is>
          <t>Видеокарты</t>
        </is>
      </c>
      <c r="B3030" s="2" t="inlineStr">
        <is>
          <t>MSI</t>
        </is>
      </c>
      <c r="C3030" s="2" t="inlineStr">
        <is>
          <t>RTX 4070 TI SUPRIM X 12G</t>
        </is>
      </c>
      <c r="D3030" s="2" t="inlineStr">
        <is>
          <t>Видеокарта MSI PCI-E 4.0 RTX 4070 Ti SUPRIM X 12G NVIDIA GeForce RTX 4070TI 12Gb 192bit GDDR6X 2775/21000 HDMIx1 DPx3 HDCP Ret</t>
        </is>
      </c>
      <c r="E3030" s="2" t="inlineStr">
        <is>
          <t>+ </t>
        </is>
      </c>
      <c r="F3030" s="2" t="inlineStr">
        <is>
          <t>+ </t>
        </is>
      </c>
      <c r="H3030" s="2">
        <v>1316</v>
      </c>
      <c r="I3030" s="2" t="inlineStr">
        <is>
          <t>$</t>
        </is>
      </c>
      <c r="J3030" s="2">
        <f>HYPERLINK("https://app.astro.lead-studio.pro/product/bf47f673-ce65-4b52-be44-1281feb456df")</f>
      </c>
    </row>
    <row r="3031" spans="1:10" customHeight="0">
      <c r="A3031" s="2" t="inlineStr">
        <is>
          <t>Видеокарты</t>
        </is>
      </c>
      <c r="B3031" s="2" t="inlineStr">
        <is>
          <t>MSI</t>
        </is>
      </c>
      <c r="C3031" s="2" t="inlineStr">
        <is>
          <t>RTX 4070 TI VENTUS 3X E112GOC</t>
        </is>
      </c>
      <c r="D3031" s="2" t="inlineStr">
        <is>
          <t>Видеокарта MSI PCI-E 4.0 RTX 4070 Ti VENTUS 3X E1 12G OC NVIDIA GeForce RTX 4070TI 12Gb 192bit GDDR6X 2640/21000 HDMIx1 DPx3 HDCP Ret</t>
        </is>
      </c>
      <c r="E3031" s="2" t="inlineStr">
        <is>
          <t>+ </t>
        </is>
      </c>
      <c r="F3031" s="2" t="inlineStr">
        <is>
          <t>+ </t>
        </is>
      </c>
      <c r="H3031" s="2">
        <v>1169</v>
      </c>
      <c r="I3031" s="2" t="inlineStr">
        <is>
          <t>$</t>
        </is>
      </c>
      <c r="J3031" s="2">
        <f>HYPERLINK("https://app.astro.lead-studio.pro/product/eb1646e4-9af4-4a72-a92e-e81d2e246160")</f>
      </c>
    </row>
    <row r="3032" spans="1:10" customHeight="0">
      <c r="A3032" s="2" t="inlineStr">
        <is>
          <t>Видеокарты</t>
        </is>
      </c>
      <c r="B3032" s="2" t="inlineStr">
        <is>
          <t>PALIT</t>
        </is>
      </c>
      <c r="C3032" s="2" t="inlineStr">
        <is>
          <t>NE63060019K9-190AD</t>
        </is>
      </c>
      <c r="D3032" s="2" t="inlineStr">
        <is>
          <t>Видеокарта Palit PCI-E 4.0 PA-RTX3060 DUAL 12G NVIDIA GeForce RTX 3060 12Gb 192bit GDDR6 1320/15000 HDMIx1 DPx3 HDCP Ret</t>
        </is>
      </c>
      <c r="E3032" s="2" t="inlineStr">
        <is>
          <t>+ </t>
        </is>
      </c>
      <c r="F3032" s="2" t="inlineStr">
        <is>
          <t>+ </t>
        </is>
      </c>
      <c r="H3032" s="2">
        <v>359</v>
      </c>
      <c r="I3032" s="2" t="inlineStr">
        <is>
          <t>$</t>
        </is>
      </c>
      <c r="J3032" s="2">
        <f>HYPERLINK("https://app.astro.lead-studio.pro/product/fd2cbceb-2f40-4521-bbf6-3b429737b375")</f>
      </c>
    </row>
    <row r="3033" spans="1:10" customHeight="0">
      <c r="A3033" s="2" t="inlineStr">
        <is>
          <t>Видеокарты</t>
        </is>
      </c>
      <c r="B3033" s="2" t="inlineStr">
        <is>
          <t>PALIT</t>
        </is>
      </c>
      <c r="C3033" s="2" t="inlineStr">
        <is>
          <t>NE63060T19K9-190AD</t>
        </is>
      </c>
      <c r="D3033" s="2" t="inlineStr">
        <is>
          <t>Видеокарта Palit PCI-E 4.0 PA-RTX3060 DUAL OC 12G NVIDIA GeForce RTX 3060 12Gb 192bit GDDR6 1320/15000 HDMIx1 DPx3 HDCP Ret</t>
        </is>
      </c>
      <c r="E3033" s="2" t="inlineStr">
        <is>
          <t>+++ </t>
        </is>
      </c>
      <c r="F3033" s="2" t="inlineStr">
        <is>
          <t>+++ </t>
        </is>
      </c>
      <c r="H3033" s="2">
        <v>374</v>
      </c>
      <c r="I3033" s="2" t="inlineStr">
        <is>
          <t>$</t>
        </is>
      </c>
      <c r="J3033" s="2">
        <f>HYPERLINK("https://app.astro.lead-studio.pro/product/647efc0d-a2ba-41ee-aa12-00487ea53bd0")</f>
      </c>
    </row>
    <row r="3034" spans="1:10" customHeight="0">
      <c r="A3034" s="2" t="inlineStr">
        <is>
          <t>Видеокарты</t>
        </is>
      </c>
      <c r="B3034" s="2" t="inlineStr">
        <is>
          <t>PALIT</t>
        </is>
      </c>
      <c r="C3034" s="2" t="inlineStr">
        <is>
          <t>NE64060019P1-1070D</t>
        </is>
      </c>
      <c r="D3034" s="2" t="inlineStr">
        <is>
          <t>Видеокарта Palit PCI-E 4.0 RTX4060 DUAL NVIDIA GeForce RTX 4060 8Gb 128bit GDDR6 1830/17000 HDMIx1 DPx3 HDCP Ret</t>
        </is>
      </c>
      <c r="E3034" s="2" t="inlineStr">
        <is>
          <t>+++ </t>
        </is>
      </c>
      <c r="F3034" s="2" t="inlineStr">
        <is>
          <t>+++ </t>
        </is>
      </c>
      <c r="H3034" s="2">
        <v>412</v>
      </c>
      <c r="I3034" s="2" t="inlineStr">
        <is>
          <t>$</t>
        </is>
      </c>
      <c r="J3034" s="2">
        <f>HYPERLINK("https://app.astro.lead-studio.pro/product/79a72374-c8e8-4f18-b290-98881338b2e5")</f>
      </c>
    </row>
    <row r="3035" spans="1:10" customHeight="0">
      <c r="A3035" s="2" t="inlineStr">
        <is>
          <t>Видеокарты</t>
        </is>
      </c>
      <c r="B3035" s="2" t="inlineStr">
        <is>
          <t>PALIT</t>
        </is>
      </c>
      <c r="C3035" s="2" t="inlineStr">
        <is>
          <t>NE64060T19P1-1070D</t>
        </is>
      </c>
      <c r="D3035" s="2" t="inlineStr">
        <is>
          <t>Видеокарта Palit PCI-E 4.0 RTX4060 DUAL OC NVIDIA GeForce RTX 4060 8Gb 128bit GDDR6 1830/17000 HDMIx1 DPx3 HDCP Ret</t>
        </is>
      </c>
      <c r="E3035" s="2" t="inlineStr">
        <is>
          <t>+++ </t>
        </is>
      </c>
      <c r="F3035" s="2" t="inlineStr">
        <is>
          <t>+++ </t>
        </is>
      </c>
      <c r="H3035" s="2">
        <v>411</v>
      </c>
      <c r="I3035" s="2" t="inlineStr">
        <is>
          <t>$</t>
        </is>
      </c>
      <c r="J3035" s="2">
        <f>HYPERLINK("https://app.astro.lead-studio.pro/product/d7fbe523-c4dc-48b5-9de2-79913d7607dd")</f>
      </c>
    </row>
    <row r="3036" spans="1:10" customHeight="0">
      <c r="A3036" s="2" t="inlineStr">
        <is>
          <t>Видеокарты</t>
        </is>
      </c>
      <c r="B3036" s="2" t="inlineStr">
        <is>
          <t>PALIT</t>
        </is>
      </c>
      <c r="C3036" s="2" t="inlineStr">
        <is>
          <t>NE64060019P1-1070L</t>
        </is>
      </c>
      <c r="D3036" s="2" t="inlineStr">
        <is>
          <t>Видеокарта Palit PCI-E 4.0 RTX4060 INFINITY 2 NVIDIA GeForce RTX 4060 8Gb 128bit GDDR6 1830/17000 HDMIx1 DPx3 HDCP Ret</t>
        </is>
      </c>
      <c r="E3036" s="2" t="inlineStr">
        <is>
          <t>++ </t>
        </is>
      </c>
      <c r="F3036" s="2" t="inlineStr">
        <is>
          <t>++ </t>
        </is>
      </c>
      <c r="H3036" s="2">
        <v>393</v>
      </c>
      <c r="I3036" s="2" t="inlineStr">
        <is>
          <t>$</t>
        </is>
      </c>
      <c r="J3036" s="2">
        <f>HYPERLINK("https://app.astro.lead-studio.pro/product/3020d6a1-9e1f-4935-90a1-346c05db6554")</f>
      </c>
    </row>
    <row r="3037" spans="1:10" customHeight="0">
      <c r="A3037" s="2" t="inlineStr">
        <is>
          <t>Видеокарты</t>
        </is>
      </c>
      <c r="B3037" s="2" t="inlineStr">
        <is>
          <t>PALIT</t>
        </is>
      </c>
      <c r="C3037" s="2" t="inlineStr">
        <is>
          <t>NE64060S19P1-1070L</t>
        </is>
      </c>
      <c r="D3037" s="2" t="inlineStr">
        <is>
          <t>Видеокарта Palit PCI-E 4.0 RTX4060 INFINITY 2 OC NVIDIA GeForce RTX 4060 8Gb 128bit GDDR6 1830/17000 HDMIx1 DPx3 HDCP Ret</t>
        </is>
      </c>
      <c r="E3037" s="2" t="inlineStr">
        <is>
          <t>+ </t>
        </is>
      </c>
      <c r="F3037" s="2" t="inlineStr">
        <is>
          <t>+ </t>
        </is>
      </c>
      <c r="H3037" s="2">
        <v>408</v>
      </c>
      <c r="I3037" s="2" t="inlineStr">
        <is>
          <t>$</t>
        </is>
      </c>
      <c r="J3037" s="2">
        <f>HYPERLINK("https://app.astro.lead-studio.pro/product/22fe841a-24e7-470c-8afa-977a0bc6755b")</f>
      </c>
    </row>
    <row r="3038" spans="1:10" customHeight="0">
      <c r="A3038" s="2" t="inlineStr">
        <is>
          <t>Видеокарты</t>
        </is>
      </c>
      <c r="B3038" s="2" t="inlineStr">
        <is>
          <t>PALIT</t>
        </is>
      </c>
      <c r="C3038" s="2" t="inlineStr">
        <is>
          <t>NE64060019P1-1070F</t>
        </is>
      </c>
      <c r="D3038" s="2" t="inlineStr">
        <is>
          <t>Видеокарта Palit PCI-E 4.0 RTX4060 STORMX NVIDIA GeForce RTX 4060 8Gb 128bit GDDR6 1830/17000 HDMIx1 DPx3 HDCP Ret</t>
        </is>
      </c>
      <c r="E3038" s="2" t="inlineStr">
        <is>
          <t>+++ </t>
        </is>
      </c>
      <c r="F3038" s="2" t="inlineStr">
        <is>
          <t>+++ </t>
        </is>
      </c>
      <c r="H3038" s="2">
        <v>385</v>
      </c>
      <c r="I3038" s="2" t="inlineStr">
        <is>
          <t>$</t>
        </is>
      </c>
      <c r="J3038" s="2">
        <f>HYPERLINK("https://app.astro.lead-studio.pro/product/a5c71bb8-866f-4c64-b456-be8c0c0fe633")</f>
      </c>
    </row>
    <row r="3039" spans="1:10" customHeight="0">
      <c r="A3039" s="2" t="inlineStr">
        <is>
          <t>Видеокарты</t>
        </is>
      </c>
      <c r="B3039" s="2" t="inlineStr">
        <is>
          <t>PALIT</t>
        </is>
      </c>
      <c r="C3039" s="2" t="inlineStr">
        <is>
          <t>NE6406T019P1-1048D</t>
        </is>
      </c>
      <c r="D3039" s="2" t="inlineStr">
        <is>
          <t>Видеокарта Palit PCI-E 4.0 RTX4060Ti DUAL NVIDIA GeForce RTX 4060TI 8Gb 128bit GDDR6 2310/18000 HDMIx1 DPx3 HDCP Ret</t>
        </is>
      </c>
      <c r="E3039" s="2" t="inlineStr">
        <is>
          <t>++ </t>
        </is>
      </c>
      <c r="F3039" s="2" t="inlineStr">
        <is>
          <t>++ </t>
        </is>
      </c>
      <c r="H3039" s="2">
        <v>520</v>
      </c>
      <c r="I3039" s="2" t="inlineStr">
        <is>
          <t>$</t>
        </is>
      </c>
      <c r="J3039" s="2">
        <f>HYPERLINK("https://app.astro.lead-studio.pro/product/bc465d0c-d001-4d8b-bdf9-48f751e8f408")</f>
      </c>
    </row>
    <row r="3040" spans="1:10" customHeight="0">
      <c r="A3040" s="2" t="inlineStr">
        <is>
          <t>Видеокарты</t>
        </is>
      </c>
      <c r="B3040" s="2" t="inlineStr">
        <is>
          <t>PALIT</t>
        </is>
      </c>
      <c r="C3040" s="2" t="inlineStr">
        <is>
          <t>NE6406T019P1-1060D</t>
        </is>
      </c>
      <c r="D3040" s="2" t="inlineStr">
        <is>
          <t>Видеокарта Palit PCI-E 4.0 RTX4060TI DUAL NVIDIA GeForce RTX 4060TI 8Gb 128bit GDDR6 2310/18000 HDMIx1 DPx3 HDCP Ret</t>
        </is>
      </c>
      <c r="E3040" s="2" t="inlineStr">
        <is>
          <t>+++ </t>
        </is>
      </c>
      <c r="F3040" s="2" t="inlineStr">
        <is>
          <t>+++ </t>
        </is>
      </c>
      <c r="H3040" s="2">
        <v>522</v>
      </c>
      <c r="I3040" s="2" t="inlineStr">
        <is>
          <t>$</t>
        </is>
      </c>
      <c r="J3040" s="2">
        <f>HYPERLINK("https://app.astro.lead-studio.pro/product/dbedd53c-11af-4f9b-98a9-4cdb947b6cd9")</f>
      </c>
    </row>
    <row r="3041" spans="1:10" customHeight="0">
      <c r="A3041" s="2" t="inlineStr">
        <is>
          <t>Видеокарты</t>
        </is>
      </c>
      <c r="B3041" s="2" t="inlineStr">
        <is>
          <t>PALIT</t>
        </is>
      </c>
      <c r="C3041" s="2" t="inlineStr">
        <is>
          <t>NE6406T019P1-1060F</t>
        </is>
      </c>
      <c r="D3041" s="2" t="inlineStr">
        <is>
          <t>Видеокарта Palit PCI-E 4.0 RTX4060TI STORMX NVIDIA GeForce RTX 4060TI 8Gb 128bit GDDR6 2310/18000 HDMIx1 DPx3 HDCP Ret</t>
        </is>
      </c>
      <c r="E3041" s="2" t="inlineStr">
        <is>
          <t>++ </t>
        </is>
      </c>
      <c r="F3041" s="2" t="inlineStr">
        <is>
          <t>++ </t>
        </is>
      </c>
      <c r="H3041" s="2">
        <v>502</v>
      </c>
      <c r="I3041" s="2" t="inlineStr">
        <is>
          <t>$</t>
        </is>
      </c>
      <c r="J3041" s="2">
        <f>HYPERLINK("https://app.astro.lead-studio.pro/product/dd798056-bd46-4ef6-99c0-710f3f16e6a9")</f>
      </c>
    </row>
    <row r="3042" spans="1:10" customHeight="0">
      <c r="A3042" s="2" t="inlineStr">
        <is>
          <t>Видеокарты</t>
        </is>
      </c>
      <c r="B3042" s="2" t="inlineStr">
        <is>
          <t>PALIT</t>
        </is>
      </c>
      <c r="C3042" s="2" t="inlineStr">
        <is>
          <t>NE6406TS19P1-1060F</t>
        </is>
      </c>
      <c r="D3042" s="2" t="inlineStr">
        <is>
          <t>Видеокарта Palit PCI-E 4.0 RTX4060TI STORMX OC NVIDIA GeForce RTX 4060TI 8Gb 128bit GDDR6 2310/18000 HDMIx1 DPx3 HDCP Ret</t>
        </is>
      </c>
      <c r="E3042" s="2" t="inlineStr">
        <is>
          <t>+ </t>
        </is>
      </c>
      <c r="F3042" s="2" t="inlineStr">
        <is>
          <t>+ </t>
        </is>
      </c>
      <c r="H3042" s="2">
        <v>534</v>
      </c>
      <c r="I3042" s="2" t="inlineStr">
        <is>
          <t>$</t>
        </is>
      </c>
      <c r="J3042" s="2">
        <f>HYPERLINK("https://app.astro.lead-studio.pro/product/0343e147-45fc-4fb9-953e-067cb032bd95")</f>
      </c>
    </row>
    <row r="3043" spans="1:10" customHeight="0">
      <c r="A3043" s="2" t="inlineStr">
        <is>
          <t>Видеокарты</t>
        </is>
      </c>
      <c r="B3043" s="2" t="inlineStr">
        <is>
          <t>PALIT</t>
        </is>
      </c>
      <c r="C3043" s="2" t="inlineStr">
        <is>
          <t>NE64070019K9-1048D</t>
        </is>
      </c>
      <c r="D3043" s="2" t="inlineStr">
        <is>
          <t>Видеокарта Palit PCI-E 4.0 RTX4070 DUAL NVIDIA GeForce RTX 4070 12Gb 192bit GDDR6 1920/20000 HDMIx1 DPx3 HDCP Ret</t>
        </is>
      </c>
      <c r="E3043" s="2" t="inlineStr">
        <is>
          <t>+ </t>
        </is>
      </c>
      <c r="F3043" s="2" t="inlineStr">
        <is>
          <t>+ </t>
        </is>
      </c>
      <c r="H3043" s="2">
        <v>714</v>
      </c>
      <c r="I3043" s="2" t="inlineStr">
        <is>
          <t>$</t>
        </is>
      </c>
      <c r="J3043" s="2">
        <f>HYPERLINK("https://app.astro.lead-studio.pro/product/ba77d1d7-8488-4ca6-97e2-4c63c17a006b")</f>
      </c>
    </row>
    <row r="3044" spans="1:10" customHeight="0">
      <c r="A3044" s="2" t="inlineStr">
        <is>
          <t>Видеокарты</t>
        </is>
      </c>
      <c r="B3044" s="2" t="inlineStr">
        <is>
          <t>PALIT</t>
        </is>
      </c>
      <c r="C3044" s="2" t="inlineStr">
        <is>
          <t>NE64070S19K9-1048D</t>
        </is>
      </c>
      <c r="D3044" s="2" t="inlineStr">
        <is>
          <t>Видеокарта Palit PCI-E 4.0 RTX4070 DUAL OC NVIDIA GeForce RTX 4070 12Gb 192bit GDDR6 1920/20000 HDMIx1 DPx3 HDCP Ret</t>
        </is>
      </c>
      <c r="E3044" s="2" t="inlineStr">
        <is>
          <t>+ </t>
        </is>
      </c>
      <c r="F3044" s="2" t="inlineStr">
        <is>
          <t>+ </t>
        </is>
      </c>
      <c r="H3044" s="2">
        <v>738</v>
      </c>
      <c r="I3044" s="2" t="inlineStr">
        <is>
          <t>$</t>
        </is>
      </c>
      <c r="J3044" s="2">
        <f>HYPERLINK("https://app.astro.lead-studio.pro/product/7c92cb91-60da-48f7-a23a-ad1cf32a451b")</f>
      </c>
    </row>
    <row r="3045" spans="1:10" customHeight="0">
      <c r="A3045" s="2" t="inlineStr">
        <is>
          <t>Видеокарты</t>
        </is>
      </c>
      <c r="B3045" s="2" t="inlineStr">
        <is>
          <t>PNY</t>
        </is>
      </c>
      <c r="C3045" s="2" t="inlineStr">
        <is>
          <t>VCNRTXA2000-12GB-PB</t>
        </is>
      </c>
      <c r="D3045" s="2" t="inlineStr">
        <is>
          <t>Видеокарта PNY PCI-E 4.0 VCNRTXA2000-12GB-PB NVIDIA RTX A2000 12Gb 192bit GDDR6 562 mDPx4 Ret low profile</t>
        </is>
      </c>
      <c r="E3045" s="2" t="inlineStr">
        <is>
          <t>+ </t>
        </is>
      </c>
      <c r="F3045" s="2" t="inlineStr">
        <is>
          <t>+ </t>
        </is>
      </c>
      <c r="H3045" s="2">
        <v>867</v>
      </c>
      <c r="I3045" s="2" t="inlineStr">
        <is>
          <t>$</t>
        </is>
      </c>
      <c r="J3045" s="2">
        <f>HYPERLINK("https://app.astro.lead-studio.pro/product/67b6974d-c8fc-4fbb-9aee-6ddc40cc3931")</f>
      </c>
    </row>
    <row r="3046" spans="1:10" customHeight="0">
      <c r="A3046" s="2" t="inlineStr">
        <is>
          <t>Видеокарты</t>
        </is>
      </c>
      <c r="B3046" s="2" t="inlineStr">
        <is>
          <t>PNY</t>
        </is>
      </c>
      <c r="C3046" s="2" t="inlineStr">
        <is>
          <t>VCNRTXA2000-12GB-SB</t>
        </is>
      </c>
      <c r="D3046" s="2" t="inlineStr">
        <is>
          <t>Видеокарта PNY PCI-E 4.0 VCNRTXA2000-12GB-SB NVIDIA RTX A2000 12Gb 192bit GDDR6 mDPx4 Ret low profile</t>
        </is>
      </c>
      <c r="E3046" s="2" t="inlineStr">
        <is>
          <t>+ </t>
        </is>
      </c>
      <c r="F3046" s="2" t="inlineStr">
        <is>
          <t>+ </t>
        </is>
      </c>
      <c r="H3046" s="2">
        <v>788</v>
      </c>
      <c r="I3046" s="2" t="inlineStr">
        <is>
          <t>$</t>
        </is>
      </c>
      <c r="J3046" s="2">
        <f>HYPERLINK("https://app.astro.lead-studio.pro/product/07fdc1d8-fc54-4fe9-9431-5d566b606533")</f>
      </c>
    </row>
    <row r="3047" spans="1:10" customHeight="0">
      <c r="A3047" s="2" t="inlineStr">
        <is>
          <t>Видеокарты</t>
        </is>
      </c>
      <c r="B3047" s="2" t="inlineStr">
        <is>
          <t>PNY</t>
        </is>
      </c>
      <c r="C3047" s="2" t="inlineStr">
        <is>
          <t>VCNT1000-SB</t>
        </is>
      </c>
      <c r="D3047" s="2" t="inlineStr">
        <is>
          <t>Видеокарта PNY PCI-E T1000 NVIDIA T1000 4Gb 128bit GDDR6 mDPx4 HDCP Bulk low profile</t>
        </is>
      </c>
      <c r="E3047" s="2" t="inlineStr">
        <is>
          <t>+ </t>
        </is>
      </c>
      <c r="F3047" s="2" t="inlineStr">
        <is>
          <t>+ </t>
        </is>
      </c>
      <c r="H3047" s="2">
        <v>479</v>
      </c>
      <c r="I3047" s="2" t="inlineStr">
        <is>
          <t>$</t>
        </is>
      </c>
      <c r="J3047" s="2">
        <f>HYPERLINK("https://app.astro.lead-studio.pro/product/b32b08c2-635b-404e-9727-1baecb140f20")</f>
      </c>
    </row>
    <row r="3048" spans="1:10" customHeight="0">
      <c r="A3048" s="2" t="inlineStr">
        <is>
          <t>Видеокарты</t>
        </is>
      </c>
      <c r="B3048" s="2" t="inlineStr">
        <is>
          <t>PNY</t>
        </is>
      </c>
      <c r="C3048" s="2" t="inlineStr">
        <is>
          <t>VCNT1000-8GB-SB</t>
        </is>
      </c>
      <c r="D3048" s="2" t="inlineStr">
        <is>
          <t>Видеокарта PNY PCI-E T1000 NVIDIA T1000 8Gb 128bit GDDR6 1065/10000 mDPx4 HDCP Bulk low profile</t>
        </is>
      </c>
      <c r="E3048" s="2" t="inlineStr">
        <is>
          <t>+ </t>
        </is>
      </c>
      <c r="F3048" s="2" t="inlineStr">
        <is>
          <t>+ </t>
        </is>
      </c>
      <c r="H3048" s="2">
        <v>539</v>
      </c>
      <c r="I3048" s="2" t="inlineStr">
        <is>
          <t>$</t>
        </is>
      </c>
      <c r="J3048" s="2">
        <f>HYPERLINK("https://app.astro.lead-studio.pro/product/9610c0ee-9c8c-400c-bcb5-7aae7f9b07dc")</f>
      </c>
    </row>
    <row r="3049" spans="1:10" customHeight="0">
      <c r="A3049" s="2" t="inlineStr">
        <is>
          <t>Видеокарты</t>
        </is>
      </c>
      <c r="B3049" s="2" t="inlineStr">
        <is>
          <t>PNY</t>
        </is>
      </c>
      <c r="C3049" s="2" t="inlineStr">
        <is>
          <t>VCNT1000-8GB-PB</t>
        </is>
      </c>
      <c r="D3049" s="2" t="inlineStr">
        <is>
          <t>Видеокарта PNY PCI-E T1000 NVIDIA T1000 8Gb 128bit GDDR6 1065/10000 mDPx4 HDCP Ret low profile</t>
        </is>
      </c>
      <c r="E3049" s="2" t="inlineStr">
        <is>
          <t>+ </t>
        </is>
      </c>
      <c r="F3049" s="2" t="inlineStr">
        <is>
          <t>+ </t>
        </is>
      </c>
      <c r="H3049" s="2">
        <v>595</v>
      </c>
      <c r="I3049" s="2" t="inlineStr">
        <is>
          <t>$</t>
        </is>
      </c>
      <c r="J3049" s="2">
        <f>HYPERLINK("https://app.astro.lead-studio.pro/product/34bed852-c641-43ed-b56d-8554804b9d4c")</f>
      </c>
    </row>
    <row r="3050" spans="1:10" customHeight="0">
      <c r="A3050" s="2" t="inlineStr">
        <is>
          <t>Видеокарты</t>
        </is>
      </c>
      <c r="B3050" s="2" t="inlineStr">
        <is>
          <t>SAPPHIRE</t>
        </is>
      </c>
      <c r="C3050" s="2" t="inlineStr">
        <is>
          <t>11330-03-20G</t>
        </is>
      </c>
      <c r="D3050" s="2" t="inlineStr">
        <is>
          <t>Видеокарта Sapphire PCI-E 4.0 11330-03-20G PURE RX 7800 XT GAMING OC AMD Radeon RX 7800XT 16Gb 256bit GDDR6 2169/19500 HDMIx2 DPx2 HDCP Ret</t>
        </is>
      </c>
      <c r="E3050" s="2" t="inlineStr">
        <is>
          <t>+ </t>
        </is>
      </c>
      <c r="F3050" s="2" t="inlineStr">
        <is>
          <t>+ </t>
        </is>
      </c>
      <c r="H3050" s="2">
        <v>767</v>
      </c>
      <c r="I3050" s="2" t="inlineStr">
        <is>
          <t>$</t>
        </is>
      </c>
      <c r="J3050" s="2">
        <f>HYPERLINK("https://app.astro.lead-studio.pro/product/5628a0e8-60a3-4881-b45a-72647c8e30d5")</f>
      </c>
    </row>
    <row r="3051" spans="1:10" customHeight="0">
      <c r="A3051" s="2" t="inlineStr">
        <is>
          <t>Жесткие Диски</t>
        </is>
      </c>
      <c r="B3051" s="2" t="inlineStr">
        <is>
          <t>SEAGATE</t>
        </is>
      </c>
      <c r="C3051" s="2" t="inlineStr">
        <is>
          <t>ST12000NM004J</t>
        </is>
      </c>
      <c r="D3051" s="2" t="inlineStr">
        <is>
          <t>Жесткий диск Seagate SAS 3.0 12TB ST12000NM004J Server Exos X18 (7200rpm) 256Mb 3.5"</t>
        </is>
      </c>
      <c r="E3051" s="2" t="inlineStr">
        <is>
          <t>+ </t>
        </is>
      </c>
      <c r="F3051" s="2" t="inlineStr">
        <is>
          <t>+ </t>
        </is>
      </c>
      <c r="H3051" s="2">
        <v>365</v>
      </c>
      <c r="I3051" s="2" t="inlineStr">
        <is>
          <t>$</t>
        </is>
      </c>
      <c r="J3051" s="2">
        <f>HYPERLINK("https://app.astro.lead-studio.pro/product/0330e233-1bfd-4cbc-aead-2bd8d9375a6c")</f>
      </c>
    </row>
    <row r="3052" spans="1:10" customHeight="0">
      <c r="A3052" s="2" t="inlineStr">
        <is>
          <t>Жесткие Диски</t>
        </is>
      </c>
      <c r="B3052" s="2" t="inlineStr">
        <is>
          <t>SEAGATE</t>
        </is>
      </c>
      <c r="C3052" s="2" t="inlineStr">
        <is>
          <t>ST14000NM004J</t>
        </is>
      </c>
      <c r="D3052" s="2" t="inlineStr">
        <is>
          <t>Жесткий диск Seagate SAS 3.0 14TB ST14000NM004J Server Exos X18 (7200rpm) 256Mb 3.5"</t>
        </is>
      </c>
      <c r="E3052" s="2" t="inlineStr">
        <is>
          <t>++ </t>
        </is>
      </c>
      <c r="F3052" s="2" t="inlineStr">
        <is>
          <t>++ </t>
        </is>
      </c>
      <c r="H3052" s="2">
        <v>368</v>
      </c>
      <c r="I3052" s="2" t="inlineStr">
        <is>
          <t>$</t>
        </is>
      </c>
      <c r="J3052" s="2">
        <f>HYPERLINK("https://app.astro.lead-studio.pro/product/592bb36a-0ddb-40d0-9913-fc99c35d6161")</f>
      </c>
    </row>
    <row r="3053" spans="1:10" customHeight="0">
      <c r="A3053" s="2" t="inlineStr">
        <is>
          <t>Жесткие Диски</t>
        </is>
      </c>
      <c r="B3053" s="2" t="inlineStr">
        <is>
          <t>SEAGATE</t>
        </is>
      </c>
      <c r="C3053" s="2" t="inlineStr">
        <is>
          <t>ST16000NM004J</t>
        </is>
      </c>
      <c r="D3053" s="2" t="inlineStr">
        <is>
          <t>Жесткий диск Seagate SAS 3.0 16TB ST16000NM004J Exos X18 512E (7200rpm) 256Mb 3.5"</t>
        </is>
      </c>
      <c r="E3053" s="2" t="inlineStr">
        <is>
          <t>++ </t>
        </is>
      </c>
      <c r="F3053" s="2" t="inlineStr">
        <is>
          <t>++ </t>
        </is>
      </c>
      <c r="H3053" s="2">
        <v>386</v>
      </c>
      <c r="I3053" s="2" t="inlineStr">
        <is>
          <t>$</t>
        </is>
      </c>
      <c r="J3053" s="2">
        <f>HYPERLINK("https://app.astro.lead-studio.pro/product/76bd0f38-9d35-4c91-b422-12e4c7ec2fec")</f>
      </c>
    </row>
    <row r="3054" spans="1:10" customHeight="0">
      <c r="A3054" s="2" t="inlineStr">
        <is>
          <t>Жесткие Диски</t>
        </is>
      </c>
      <c r="B3054" s="2" t="inlineStr">
        <is>
          <t>SEAGATE</t>
        </is>
      </c>
      <c r="C3054" s="2" t="inlineStr">
        <is>
          <t>ST18000NM004J</t>
        </is>
      </c>
      <c r="D3054" s="2" t="inlineStr">
        <is>
          <t>Жесткий диск Seagate SAS 3.0 18TB ST18000NM004J Server Exos X18 512E (7200rpm) 256Mb 3.5"</t>
        </is>
      </c>
      <c r="E3054" s="2" t="inlineStr">
        <is>
          <t>++ </t>
        </is>
      </c>
      <c r="F3054" s="2" t="inlineStr">
        <is>
          <t>++ </t>
        </is>
      </c>
      <c r="H3054" s="2">
        <v>472</v>
      </c>
      <c r="I3054" s="2" t="inlineStr">
        <is>
          <t>$</t>
        </is>
      </c>
      <c r="J3054" s="2">
        <f>HYPERLINK("https://app.astro.lead-studio.pro/product/b50ec145-154a-4de2-88b3-06018d31ba20")</f>
      </c>
    </row>
    <row r="3055" spans="1:10" customHeight="0">
      <c r="A3055" s="2" t="inlineStr">
        <is>
          <t>Жесткие Диски</t>
        </is>
      </c>
      <c r="B3055" s="2" t="inlineStr">
        <is>
          <t>SEAGATE</t>
        </is>
      </c>
      <c r="C3055" s="2" t="inlineStr">
        <is>
          <t>ST20000NM002D</t>
        </is>
      </c>
      <c r="D3055" s="2" t="inlineStr">
        <is>
          <t>Жесткий диск Seagate SAS 3.0 20TB ST20000NM002D Exos X20 (7200rpm) 256Mb 3.5"</t>
        </is>
      </c>
      <c r="E3055" s="2" t="inlineStr">
        <is>
          <t>+ </t>
        </is>
      </c>
      <c r="F3055" s="2" t="inlineStr">
        <is>
          <t>+ </t>
        </is>
      </c>
      <c r="H3055" s="2">
        <v>517</v>
      </c>
      <c r="I3055" s="2" t="inlineStr">
        <is>
          <t>$</t>
        </is>
      </c>
      <c r="J3055" s="2">
        <f>HYPERLINK("https://app.astro.lead-studio.pro/product/097e0443-5b39-49ca-835d-bcae82fd8c11")</f>
      </c>
    </row>
    <row r="3056" spans="1:10" customHeight="0">
      <c r="A3056" s="2" t="inlineStr">
        <is>
          <t>Жесткие Диски</t>
        </is>
      </c>
      <c r="B3056" s="2" t="inlineStr">
        <is>
          <t>TOSHIBA</t>
        </is>
      </c>
      <c r="C3056" s="2" t="inlineStr">
        <is>
          <t>MG07SCA12TA</t>
        </is>
      </c>
      <c r="D3056" s="2" t="inlineStr">
        <is>
          <t>Жесткий диск Toshiba SAS 3.0 12TB MG07SCA12TA Server Enterprise Capacity 4KN (7200rpm) 256Mb 3.5"</t>
        </is>
      </c>
      <c r="E3056" s="2" t="inlineStr">
        <is>
          <t>+ </t>
        </is>
      </c>
      <c r="F3056" s="2" t="inlineStr">
        <is>
          <t>+ </t>
        </is>
      </c>
      <c r="H3056" s="2">
        <v>394</v>
      </c>
      <c r="I3056" s="2" t="inlineStr">
        <is>
          <t>$</t>
        </is>
      </c>
      <c r="J3056" s="2">
        <f>HYPERLINK("https://app.astro.lead-studio.pro/product/4327bfa3-4863-4c97-abfc-1d92625bc38d")</f>
      </c>
    </row>
    <row r="3057" spans="1:10" customHeight="0">
      <c r="A3057" s="2" t="inlineStr">
        <is>
          <t>Жесткие Диски</t>
        </is>
      </c>
      <c r="B3057" s="2" t="inlineStr">
        <is>
          <t>TOSHIBA</t>
        </is>
      </c>
      <c r="C3057" s="2" t="inlineStr">
        <is>
          <t>MG09SCA14TE</t>
        </is>
      </c>
      <c r="D3057" s="2" t="inlineStr">
        <is>
          <t>Жесткий диск Toshiba SAS 3.0 14TB MG09SCA14TE (7200rpm) 512Mb 3.5" Bulk</t>
        </is>
      </c>
      <c r="E3057" s="2" t="inlineStr">
        <is>
          <t>+ </t>
        </is>
      </c>
      <c r="F3057" s="2" t="inlineStr">
        <is>
          <t>+ </t>
        </is>
      </c>
      <c r="H3057" s="2">
        <v>412</v>
      </c>
      <c r="I3057" s="2" t="inlineStr">
        <is>
          <t>$</t>
        </is>
      </c>
      <c r="J3057" s="2">
        <f>HYPERLINK("https://app.astro.lead-studio.pro/product/c268e8b6-a722-4860-8b06-1261e6f4e89a")</f>
      </c>
    </row>
    <row r="3058" spans="1:10" customHeight="0">
      <c r="A3058" s="2" t="inlineStr">
        <is>
          <t>Жесткие Диски</t>
        </is>
      </c>
      <c r="B3058" s="2" t="inlineStr">
        <is>
          <t>TOSHIBA</t>
        </is>
      </c>
      <c r="C3058" s="2" t="inlineStr">
        <is>
          <t>MG08SCA16TE</t>
        </is>
      </c>
      <c r="D3058" s="2" t="inlineStr">
        <is>
          <t>Жесткий диск Toshiba SAS 3.0 16TB MG08SCA16TE Server 512E (7200rpm) 512Mb 3.5"</t>
        </is>
      </c>
      <c r="E3058" s="2" t="inlineStr">
        <is>
          <t>++ </t>
        </is>
      </c>
      <c r="F3058" s="2" t="inlineStr">
        <is>
          <t>++ </t>
        </is>
      </c>
      <c r="H3058" s="2">
        <v>387</v>
      </c>
      <c r="I3058" s="2" t="inlineStr">
        <is>
          <t>$</t>
        </is>
      </c>
      <c r="J3058" s="2">
        <f>HYPERLINK("https://app.astro.lead-studio.pro/product/f2604ef2-5ba0-4507-8ec3-80223662573e")</f>
      </c>
    </row>
    <row r="3059" spans="1:10" customHeight="0">
      <c r="A3059" s="2" t="inlineStr">
        <is>
          <t>Жесткие Диски</t>
        </is>
      </c>
      <c r="B3059" s="2" t="inlineStr">
        <is>
          <t>WD</t>
        </is>
      </c>
      <c r="C3059" s="2" t="inlineStr">
        <is>
          <t>0F38361</t>
        </is>
      </c>
      <c r="D3059" s="2" t="inlineStr">
        <is>
          <t>Жесткий диск WD SAS 3.0 16TB 0F38361 WUH721816AL5204 Ultrastar DC HC550 (7200rpm) 512Mb 3.5"</t>
        </is>
      </c>
      <c r="E3059" s="2" t="inlineStr">
        <is>
          <t>+ </t>
        </is>
      </c>
      <c r="F3059" s="2" t="inlineStr">
        <is>
          <t>+ </t>
        </is>
      </c>
      <c r="H3059" s="2">
        <v>455</v>
      </c>
      <c r="I3059" s="2" t="inlineStr">
        <is>
          <t>$</t>
        </is>
      </c>
      <c r="J3059" s="2">
        <f>HYPERLINK("https://app.astro.lead-studio.pro/product/4837fe00-92bd-4421-8fe0-84125c076cbc")</f>
      </c>
    </row>
    <row r="3060" spans="1:10" customHeight="0">
      <c r="A3060" s="2" t="inlineStr">
        <is>
          <t>Жесткие Диски</t>
        </is>
      </c>
      <c r="B3060" s="2" t="inlineStr">
        <is>
          <t>WD</t>
        </is>
      </c>
      <c r="C3060" s="2" t="inlineStr">
        <is>
          <t>0F48052</t>
        </is>
      </c>
      <c r="D3060" s="2" t="inlineStr">
        <is>
          <t>Жесткий диск WD SAS 3.0 22TB 0F48052 WUH722222AL5204 Server Ultrastar DC HC570 512E (7200rpm) 512Mb 3.5"</t>
        </is>
      </c>
      <c r="E3060" s="2" t="inlineStr">
        <is>
          <t>+ </t>
        </is>
      </c>
      <c r="F3060" s="2" t="inlineStr">
        <is>
          <t>+ </t>
        </is>
      </c>
      <c r="H3060" s="2">
        <v>539</v>
      </c>
      <c r="I3060" s="2" t="inlineStr">
        <is>
          <t>$</t>
        </is>
      </c>
      <c r="J3060" s="2">
        <f>HYPERLINK("https://app.astro.lead-studio.pro/product/d0ed4bf8-bd09-4e85-b978-ea5dd77ab3b9")</f>
      </c>
    </row>
    <row r="3061" spans="1:10" customHeight="0">
      <c r="A3061" s="2" t="inlineStr">
        <is>
          <t>Жесткие Диски</t>
        </is>
      </c>
      <c r="B3061" s="2" t="inlineStr">
        <is>
          <t>SEAGATE</t>
        </is>
      </c>
      <c r="C3061" s="2" t="inlineStr">
        <is>
          <t>ST10000NT001</t>
        </is>
      </c>
      <c r="D3061" s="2" t="inlineStr">
        <is>
          <t>Жесткий диск Seagate SATA-III 10TB ST10000NT001 NAS Ironwolf Pro 512E (7200rpm) 256Mb 3.5"</t>
        </is>
      </c>
      <c r="E3061" s="2" t="inlineStr">
        <is>
          <t>+ </t>
        </is>
      </c>
      <c r="F3061" s="2" t="inlineStr">
        <is>
          <t>+ </t>
        </is>
      </c>
      <c r="H3061" s="2">
        <v>390</v>
      </c>
      <c r="I3061" s="2" t="inlineStr">
        <is>
          <t>$</t>
        </is>
      </c>
      <c r="J3061" s="2">
        <f>HYPERLINK("https://app.astro.lead-studio.pro/product/83fc5bca-acdf-483b-bfa5-3badb65c5e2c")</f>
      </c>
    </row>
    <row r="3062" spans="1:10" customHeight="0">
      <c r="A3062" s="2" t="inlineStr">
        <is>
          <t>Жесткие Диски</t>
        </is>
      </c>
      <c r="B3062" s="2" t="inlineStr">
        <is>
          <t>SEAGATE</t>
        </is>
      </c>
      <c r="C3062" s="2" t="inlineStr">
        <is>
          <t>ST10000VN000</t>
        </is>
      </c>
      <c r="D3062" s="2" t="inlineStr">
        <is>
          <t>Жесткий диск Seagate SATA-III 10TB ST10000VN000 NAS Ironwolf (7200rpm) 256Mb 3.5"</t>
        </is>
      </c>
      <c r="E3062" s="2" t="inlineStr">
        <is>
          <t>+ </t>
        </is>
      </c>
      <c r="F3062" s="2" t="inlineStr">
        <is>
          <t>+ </t>
        </is>
      </c>
      <c r="H3062" s="2">
        <v>331</v>
      </c>
      <c r="I3062" s="2" t="inlineStr">
        <is>
          <t>$</t>
        </is>
      </c>
      <c r="J3062" s="2">
        <f>HYPERLINK("https://app.astro.lead-studio.pro/product/198f7450-d6bc-4d64-84ea-67212ac32d37")</f>
      </c>
    </row>
    <row r="3063" spans="1:10" customHeight="0">
      <c r="A3063" s="2" t="inlineStr">
        <is>
          <t>Жесткие Диски</t>
        </is>
      </c>
      <c r="B3063" s="2" t="inlineStr">
        <is>
          <t>SEAGATE</t>
        </is>
      </c>
      <c r="C3063" s="2" t="inlineStr">
        <is>
          <t>ST12000NM001G</t>
        </is>
      </c>
      <c r="D3063" s="2" t="inlineStr">
        <is>
          <t>Жесткий диск Seagate SATA-III 12TB ST12000NM001G Server Exos X16 512E (7200rpm) 256Mb 3.5"</t>
        </is>
      </c>
      <c r="E3063" s="2" t="inlineStr">
        <is>
          <t>+ </t>
        </is>
      </c>
      <c r="F3063" s="2" t="inlineStr">
        <is>
          <t>+ </t>
        </is>
      </c>
      <c r="H3063" s="2">
        <v>359</v>
      </c>
      <c r="I3063" s="2" t="inlineStr">
        <is>
          <t>$</t>
        </is>
      </c>
      <c r="J3063" s="2">
        <f>HYPERLINK("https://app.astro.lead-studio.pro/product/6de0670f-767d-4bc6-91ea-002b046b741b")</f>
      </c>
    </row>
    <row r="3064" spans="1:10" customHeight="0">
      <c r="A3064" s="2" t="inlineStr">
        <is>
          <t>Жесткие Диски</t>
        </is>
      </c>
      <c r="B3064" s="2" t="inlineStr">
        <is>
          <t>SEAGATE</t>
        </is>
      </c>
      <c r="C3064" s="2" t="inlineStr">
        <is>
          <t>ST12000NT001</t>
        </is>
      </c>
      <c r="D3064" s="2" t="inlineStr">
        <is>
          <t>Жесткий диск Seagate SATA-III 12TB ST12000NT001 NAS Ironwolf Pro 512E (7200rpm) 256Mb 3.5"</t>
        </is>
      </c>
      <c r="E3064" s="2" t="inlineStr">
        <is>
          <t>+ </t>
        </is>
      </c>
      <c r="F3064" s="2" t="inlineStr">
        <is>
          <t>+ </t>
        </is>
      </c>
      <c r="H3064" s="2">
        <v>408</v>
      </c>
      <c r="I3064" s="2" t="inlineStr">
        <is>
          <t>$</t>
        </is>
      </c>
      <c r="J3064" s="2">
        <f>HYPERLINK("https://app.astro.lead-studio.pro/product/573c3199-c51c-47af-a1f9-a361795bf603")</f>
      </c>
    </row>
    <row r="3065" spans="1:10" customHeight="0">
      <c r="A3065" s="2" t="inlineStr">
        <is>
          <t>Жесткие Диски</t>
        </is>
      </c>
      <c r="B3065" s="2" t="inlineStr">
        <is>
          <t>SEAGATE</t>
        </is>
      </c>
      <c r="C3065" s="2" t="inlineStr">
        <is>
          <t>ST14000NM000J</t>
        </is>
      </c>
      <c r="D3065" s="2" t="inlineStr">
        <is>
          <t>Жесткий диск Seagate SATA-III 14TB ST14000NM000J Exos X18 4KN (7200rpm) 256Mb 3.5"</t>
        </is>
      </c>
      <c r="E3065" s="2" t="inlineStr">
        <is>
          <t>++ </t>
        </is>
      </c>
      <c r="F3065" s="2" t="inlineStr">
        <is>
          <t>++ </t>
        </is>
      </c>
      <c r="H3065" s="2">
        <v>329</v>
      </c>
      <c r="I3065" s="2" t="inlineStr">
        <is>
          <t>$</t>
        </is>
      </c>
      <c r="J3065" s="2">
        <f>HYPERLINK("https://app.astro.lead-studio.pro/product/0b6ee2eb-c344-4e54-aa8c-a73ceaf628c4")</f>
      </c>
    </row>
    <row r="3066" spans="1:10" customHeight="0">
      <c r="A3066" s="2" t="inlineStr">
        <is>
          <t>Жесткие Диски</t>
        </is>
      </c>
      <c r="B3066" s="2" t="inlineStr">
        <is>
          <t>SEAGATE</t>
        </is>
      </c>
      <c r="C3066" s="2" t="inlineStr">
        <is>
          <t>ST14000NT001</t>
        </is>
      </c>
      <c r="D3066" s="2" t="inlineStr">
        <is>
          <t>Жесткий диск Seagate SATA-III 14TB ST14000NT001 NAS Ironwolf Pro 512E (7200rpm) 256Mb 3.5"</t>
        </is>
      </c>
      <c r="E3066" s="2" t="inlineStr">
        <is>
          <t>+ </t>
        </is>
      </c>
      <c r="F3066" s="2" t="inlineStr">
        <is>
          <t>+ </t>
        </is>
      </c>
      <c r="H3066" s="2">
        <v>459</v>
      </c>
      <c r="I3066" s="2" t="inlineStr">
        <is>
          <t>$</t>
        </is>
      </c>
      <c r="J3066" s="2">
        <f>HYPERLINK("https://app.astro.lead-studio.pro/product/123783c2-a036-4f8c-873e-aa77e8fed157")</f>
      </c>
    </row>
    <row r="3067" spans="1:10" customHeight="0">
      <c r="A3067" s="2" t="inlineStr">
        <is>
          <t>Жесткие Диски</t>
        </is>
      </c>
      <c r="B3067" s="2" t="inlineStr">
        <is>
          <t>SEAGATE</t>
        </is>
      </c>
      <c r="C3067" s="2" t="inlineStr">
        <is>
          <t>ST16000NM001G</t>
        </is>
      </c>
      <c r="D3067" s="2" t="inlineStr">
        <is>
          <t>Жесткий диск Seagate SATA-III 16TB ST16000NM001G Server Exos X16 512E (7200rpm) 256Mb 3.5"</t>
        </is>
      </c>
      <c r="E3067" s="2" t="inlineStr">
        <is>
          <t>+ </t>
        </is>
      </c>
      <c r="F3067" s="2" t="inlineStr">
        <is>
          <t>+ </t>
        </is>
      </c>
      <c r="H3067" s="2">
        <v>345</v>
      </c>
      <c r="I3067" s="2" t="inlineStr">
        <is>
          <t>$</t>
        </is>
      </c>
      <c r="J3067" s="2">
        <f>HYPERLINK("https://app.astro.lead-studio.pro/product/fc26f5d5-3409-4c68-a3ca-a26a871e1cda")</f>
      </c>
    </row>
    <row r="3068" spans="1:10" customHeight="0">
      <c r="A3068" s="2" t="inlineStr">
        <is>
          <t>Жесткие Диски</t>
        </is>
      </c>
      <c r="B3068" s="2" t="inlineStr">
        <is>
          <t>SEAGATE</t>
        </is>
      </c>
      <c r="C3068" s="2" t="inlineStr">
        <is>
          <t>ST16000NT001</t>
        </is>
      </c>
      <c r="D3068" s="2" t="inlineStr">
        <is>
          <t>Жесткий диск Seagate SATA-III 16TB ST16000NT001 NAS Ironwolf Pro 512E (7200rpm) 256Mb 3.5"</t>
        </is>
      </c>
      <c r="E3068" s="2" t="inlineStr">
        <is>
          <t>+ </t>
        </is>
      </c>
      <c r="F3068" s="2" t="inlineStr">
        <is>
          <t>+ </t>
        </is>
      </c>
      <c r="H3068" s="2">
        <v>465</v>
      </c>
      <c r="I3068" s="2" t="inlineStr">
        <is>
          <t>$</t>
        </is>
      </c>
      <c r="J3068" s="2">
        <f>HYPERLINK("https://app.astro.lead-studio.pro/product/6005fa36-aaf5-44ec-852c-023333ac1cb8")</f>
      </c>
    </row>
    <row r="3069" spans="1:10" customHeight="0">
      <c r="A3069" s="2" t="inlineStr">
        <is>
          <t>Жесткие Диски</t>
        </is>
      </c>
      <c r="B3069" s="2" t="inlineStr">
        <is>
          <t>SEAGATE</t>
        </is>
      </c>
      <c r="C3069" s="2" t="inlineStr">
        <is>
          <t>ST16000VE002</t>
        </is>
      </c>
      <c r="D3069" s="2" t="inlineStr">
        <is>
          <t>Жесткий диск Seagate SATA-III 16TB ST16000VE002 Surveillance SkyHawkAI 512E (7200rpm) 256Mb 3.5"</t>
        </is>
      </c>
      <c r="E3069" s="2" t="inlineStr">
        <is>
          <t>+ </t>
        </is>
      </c>
      <c r="F3069" s="2" t="inlineStr">
        <is>
          <t>+ </t>
        </is>
      </c>
      <c r="H3069" s="2">
        <v>394</v>
      </c>
      <c r="I3069" s="2" t="inlineStr">
        <is>
          <t>$</t>
        </is>
      </c>
      <c r="J3069" s="2">
        <f>HYPERLINK("https://app.astro.lead-studio.pro/product/e859b240-f8a0-44d9-b1ce-0401f390db01")</f>
      </c>
    </row>
    <row r="3070" spans="1:10" customHeight="0">
      <c r="A3070" s="2" t="inlineStr">
        <is>
          <t>Жесткие Диски</t>
        </is>
      </c>
      <c r="B3070" s="2" t="inlineStr">
        <is>
          <t>SEAGATE</t>
        </is>
      </c>
      <c r="C3070" s="2" t="inlineStr">
        <is>
          <t>ST18000NE000</t>
        </is>
      </c>
      <c r="D3070" s="2" t="inlineStr">
        <is>
          <t>Жесткий диск Seagate SATA-III 18TB ST18000NE000 NAS Ironwolf Pro (7200rpm) 256Mb 3.5"</t>
        </is>
      </c>
      <c r="E3070" s="2" t="inlineStr">
        <is>
          <t>+ </t>
        </is>
      </c>
      <c r="F3070" s="2" t="inlineStr">
        <is>
          <t>+ </t>
        </is>
      </c>
      <c r="H3070" s="2">
        <v>444</v>
      </c>
      <c r="I3070" s="2" t="inlineStr">
        <is>
          <t>$</t>
        </is>
      </c>
      <c r="J3070" s="2">
        <f>HYPERLINK("https://app.astro.lead-studio.pro/product/10de24ba-f0d8-451e-8e93-f61295831530")</f>
      </c>
    </row>
    <row r="3071" spans="1:10" customHeight="0">
      <c r="A3071" s="2" t="inlineStr">
        <is>
          <t>Жесткие Диски</t>
        </is>
      </c>
      <c r="B3071" s="2" t="inlineStr">
        <is>
          <t>SEAGATE</t>
        </is>
      </c>
      <c r="C3071" s="2" t="inlineStr">
        <is>
          <t>ST18000NM000J</t>
        </is>
      </c>
      <c r="D3071" s="2" t="inlineStr">
        <is>
          <t>Жесткий диск Seagate SATA-III 18TB ST18000NM000J Server Exos X18 512E (7200rpm) 256Mb 3.5"</t>
        </is>
      </c>
      <c r="E3071" s="2" t="inlineStr">
        <is>
          <t>++ </t>
        </is>
      </c>
      <c r="F3071" s="2" t="inlineStr">
        <is>
          <t>++ </t>
        </is>
      </c>
      <c r="H3071" s="2">
        <v>413</v>
      </c>
      <c r="I3071" s="2" t="inlineStr">
        <is>
          <t>$</t>
        </is>
      </c>
      <c r="J3071" s="2">
        <f>HYPERLINK("https://app.astro.lead-studio.pro/product/1251534a-97df-48a5-8ea4-141fd861c513")</f>
      </c>
    </row>
    <row r="3072" spans="1:10" customHeight="0">
      <c r="A3072" s="2" t="inlineStr">
        <is>
          <t>Жесткие Диски</t>
        </is>
      </c>
      <c r="B3072" s="2" t="inlineStr">
        <is>
          <t>SEAGATE</t>
        </is>
      </c>
      <c r="C3072" s="2" t="inlineStr">
        <is>
          <t>ST18000VE002</t>
        </is>
      </c>
      <c r="D3072" s="2" t="inlineStr">
        <is>
          <t>Жесткий диск Seagate SATA-III 18TB ST18000VE002 Surveillance SkyHawkAI 512E (7200rpm) 256Mb 3.5"</t>
        </is>
      </c>
      <c r="E3072" s="2" t="inlineStr">
        <is>
          <t>+ </t>
        </is>
      </c>
      <c r="F3072" s="2" t="inlineStr">
        <is>
          <t>+ </t>
        </is>
      </c>
      <c r="H3072" s="2">
        <v>469</v>
      </c>
      <c r="I3072" s="2" t="inlineStr">
        <is>
          <t>$</t>
        </is>
      </c>
      <c r="J3072" s="2">
        <f>HYPERLINK("https://app.astro.lead-studio.pro/product/df29c1b5-5442-4a8e-8bc9-79ea88e270a0")</f>
      </c>
    </row>
    <row r="3073" spans="1:10" customHeight="0">
      <c r="A3073" s="2" t="inlineStr">
        <is>
          <t>Жесткие Диски</t>
        </is>
      </c>
      <c r="B3073" s="2" t="inlineStr">
        <is>
          <t>SEAGATE</t>
        </is>
      </c>
      <c r="C3073" s="2" t="inlineStr">
        <is>
          <t>ST20000VE002</t>
        </is>
      </c>
      <c r="D3073" s="2" t="inlineStr">
        <is>
          <t>Жесткий диск Seagate SATA-III 20TB ST20000VE002 Surveillance SkyHawkAI 512E (7200rpm) 256Mb 3.5"</t>
        </is>
      </c>
      <c r="E3073" s="2" t="inlineStr">
        <is>
          <t>+ </t>
        </is>
      </c>
      <c r="F3073" s="2" t="inlineStr">
        <is>
          <t>+ </t>
        </is>
      </c>
      <c r="H3073" s="2">
        <v>497</v>
      </c>
      <c r="I3073" s="2" t="inlineStr">
        <is>
          <t>$</t>
        </is>
      </c>
      <c r="J3073" s="2">
        <f>HYPERLINK("https://app.astro.lead-studio.pro/product/a149ebd9-dd75-4f32-ae07-98aedb461612")</f>
      </c>
    </row>
    <row r="3074" spans="1:10" customHeight="0">
      <c r="A3074" s="2" t="inlineStr">
        <is>
          <t>Жесткие Диски</t>
        </is>
      </c>
      <c r="B3074" s="2" t="inlineStr">
        <is>
          <t>SEAGATE</t>
        </is>
      </c>
      <c r="C3074" s="2" t="inlineStr">
        <is>
          <t>ST22000NM001E</t>
        </is>
      </c>
      <c r="D3074" s="2" t="inlineStr">
        <is>
          <t>Жесткий диск Seagate SATA-III 22TB ST22000NM001E Server Exos X22 512E (7200rpm) 512Mb 3.5"</t>
        </is>
      </c>
      <c r="E3074" s="2" t="inlineStr">
        <is>
          <t>+ </t>
        </is>
      </c>
      <c r="F3074" s="2" t="inlineStr">
        <is>
          <t>+ </t>
        </is>
      </c>
      <c r="H3074" s="2">
        <v>567</v>
      </c>
      <c r="I3074" s="2" t="inlineStr">
        <is>
          <t>$</t>
        </is>
      </c>
      <c r="J3074" s="2">
        <f>HYPERLINK("https://app.astro.lead-studio.pro/product/c8f60820-c709-4c98-9fa1-44be0054c279")</f>
      </c>
    </row>
    <row r="3075" spans="1:10" customHeight="0">
      <c r="A3075" s="2" t="inlineStr">
        <is>
          <t>Жесткие Диски</t>
        </is>
      </c>
      <c r="B3075" s="2" t="inlineStr">
        <is>
          <t>TOSHIBA</t>
        </is>
      </c>
      <c r="C3075" s="2" t="inlineStr">
        <is>
          <t>MG07ACA12TE</t>
        </is>
      </c>
      <c r="D3075" s="2" t="inlineStr">
        <is>
          <t>Жесткий диск Toshiba SATA-III 12TB MG07ACA12TE Server Enterprise Capacity 512E (7200rpm) 256Mb 3.5"</t>
        </is>
      </c>
      <c r="E3075" s="2" t="inlineStr">
        <is>
          <t>+ </t>
        </is>
      </c>
      <c r="F3075" s="2" t="inlineStr">
        <is>
          <t>+ </t>
        </is>
      </c>
      <c r="H3075" s="2">
        <v>361</v>
      </c>
      <c r="I3075" s="2" t="inlineStr">
        <is>
          <t>$</t>
        </is>
      </c>
      <c r="J3075" s="2">
        <f>HYPERLINK("https://app.astro.lead-studio.pro/product/7cc73669-1fa3-4392-9df3-57dc3fce30b4")</f>
      </c>
    </row>
    <row r="3076" spans="1:10" customHeight="0">
      <c r="A3076" s="2" t="inlineStr">
        <is>
          <t>Жесткие Диски</t>
        </is>
      </c>
      <c r="B3076" s="2" t="inlineStr">
        <is>
          <t>TOSHIBA</t>
        </is>
      </c>
      <c r="C3076" s="2" t="inlineStr">
        <is>
          <t>MG09ACA12TE</t>
        </is>
      </c>
      <c r="D3076" s="2" t="inlineStr">
        <is>
          <t>Жесткий диск Toshiba SATA-III 12TB MG09ACA12TE Server Enterprise Capacity 512E (7200rpm) 512Mb 3.5"</t>
        </is>
      </c>
      <c r="E3076" s="2" t="inlineStr">
        <is>
          <t>++ </t>
        </is>
      </c>
      <c r="F3076" s="2" t="inlineStr">
        <is>
          <t>++ </t>
        </is>
      </c>
      <c r="H3076" s="2">
        <v>364</v>
      </c>
      <c r="I3076" s="2" t="inlineStr">
        <is>
          <t>$</t>
        </is>
      </c>
      <c r="J3076" s="2">
        <f>HYPERLINK("https://app.astro.lead-studio.pro/product/e2ca4cd1-ab16-4bdc-a9eb-6452de71c0de")</f>
      </c>
    </row>
    <row r="3077" spans="1:10" customHeight="0">
      <c r="A3077" s="2" t="inlineStr">
        <is>
          <t>Жесткие Диски</t>
        </is>
      </c>
      <c r="B3077" s="2" t="inlineStr">
        <is>
          <t>TOSHIBA</t>
        </is>
      </c>
      <c r="C3077" s="2" t="inlineStr">
        <is>
          <t>MG07ACA14TE</t>
        </is>
      </c>
      <c r="D3077" s="2" t="inlineStr">
        <is>
          <t>Жесткий диск Toshiba SATA-III 14TB MG07ACA14TE Server Enterprise Capacity 512E (7200rpm) 256Mb 3.5"</t>
        </is>
      </c>
      <c r="E3077" s="2" t="inlineStr">
        <is>
          <t>+ </t>
        </is>
      </c>
      <c r="F3077" s="2" t="inlineStr">
        <is>
          <t>+ </t>
        </is>
      </c>
      <c r="H3077" s="2">
        <v>320</v>
      </c>
      <c r="I3077" s="2" t="inlineStr">
        <is>
          <t>$</t>
        </is>
      </c>
      <c r="J3077" s="2">
        <f>HYPERLINK("https://app.astro.lead-studio.pro/product/3cc675ab-0951-4402-afa1-9661c7790708")</f>
      </c>
    </row>
    <row r="3078" spans="1:10" customHeight="0">
      <c r="A3078" s="2" t="inlineStr">
        <is>
          <t>Жесткие Диски</t>
        </is>
      </c>
      <c r="B3078" s="2" t="inlineStr">
        <is>
          <t>TOSHIBA</t>
        </is>
      </c>
      <c r="C3078" s="2" t="inlineStr">
        <is>
          <t>MG09ACA18TE</t>
        </is>
      </c>
      <c r="D3078" s="2" t="inlineStr">
        <is>
          <t>Жесткий диск Toshiba SATA-III 18TB MG09ACA18TE Server Enterprise Capacity 512E (7200rpm) 512Mb 3.5"</t>
        </is>
      </c>
      <c r="E3078" s="2" t="inlineStr">
        <is>
          <t>+ </t>
        </is>
      </c>
      <c r="F3078" s="2" t="inlineStr">
        <is>
          <t>+ </t>
        </is>
      </c>
      <c r="H3078" s="2">
        <v>425</v>
      </c>
      <c r="I3078" s="2" t="inlineStr">
        <is>
          <t>$</t>
        </is>
      </c>
      <c r="J3078" s="2">
        <f>HYPERLINK("https://app.astro.lead-studio.pro/product/f787eb64-e57f-4a83-8a97-086c41bc1962")</f>
      </c>
    </row>
    <row r="3079" spans="1:10" customHeight="0">
      <c r="A3079" s="2" t="inlineStr">
        <is>
          <t>Жесткие Диски</t>
        </is>
      </c>
      <c r="B3079" s="2" t="inlineStr">
        <is>
          <t>TOSHIBA</t>
        </is>
      </c>
      <c r="C3079" s="2" t="inlineStr">
        <is>
          <t>MG10ACA20TE</t>
        </is>
      </c>
      <c r="D3079" s="2" t="inlineStr">
        <is>
          <t>Жесткий диск Toshiba SATA-III 20TB MG10ACA20TE Server Enterprise Capacity 512E (7200rpm) 512Mb 3.5"</t>
        </is>
      </c>
      <c r="E3079" s="2" t="inlineStr">
        <is>
          <t>+ </t>
        </is>
      </c>
      <c r="F3079" s="2" t="inlineStr">
        <is>
          <t>+ </t>
        </is>
      </c>
      <c r="H3079" s="2">
        <v>491</v>
      </c>
      <c r="I3079" s="2" t="inlineStr">
        <is>
          <t>$</t>
        </is>
      </c>
      <c r="J3079" s="2">
        <f>HYPERLINK("https://app.astro.lead-studio.pro/product/bf3c6c38-df1b-427d-9c9a-92ba78ccd7b3")</f>
      </c>
    </row>
    <row r="3080" spans="1:10" customHeight="0">
      <c r="A3080" s="2" t="inlineStr">
        <is>
          <t>Жесткие Диски</t>
        </is>
      </c>
      <c r="B3080" s="2" t="inlineStr">
        <is>
          <t>WD</t>
        </is>
      </c>
      <c r="C3080" s="2" t="inlineStr">
        <is>
          <t>0B42266\0B42301</t>
        </is>
      </c>
      <c r="D3080" s="2" t="inlineStr">
        <is>
          <t>Жесткий диск WD SATA-III 10TB 0B42266\0B42301 WUS721010ALE6L4 Server Ultrastar DC HC330 4KN (7200rpm) 256Mb 3.5"</t>
        </is>
      </c>
      <c r="E3080" s="2" t="inlineStr">
        <is>
          <t>+ </t>
        </is>
      </c>
      <c r="F3080" s="2" t="inlineStr">
        <is>
          <t>+ </t>
        </is>
      </c>
      <c r="H3080" s="2">
        <v>316</v>
      </c>
      <c r="I3080" s="2" t="inlineStr">
        <is>
          <t>$</t>
        </is>
      </c>
      <c r="J3080" s="2">
        <f>HYPERLINK("https://app.astro.lead-studio.pro/product/21eddb34-2d02-4e8b-a63f-5f891d842586")</f>
      </c>
    </row>
    <row r="3081" spans="1:10" customHeight="0">
      <c r="A3081" s="2" t="inlineStr">
        <is>
          <t>Жесткие Диски</t>
        </is>
      </c>
      <c r="B3081" s="2" t="inlineStr">
        <is>
          <t>WD</t>
        </is>
      </c>
      <c r="C3081" s="2" t="inlineStr">
        <is>
          <t>WD101FZBX</t>
        </is>
      </c>
      <c r="D3081" s="2" t="inlineStr">
        <is>
          <t>Жесткий диск WD SATA-III 10TB WD101FZBX Desktop Black (7200rpm) 256Mb 3.5"</t>
        </is>
      </c>
      <c r="E3081" s="2" t="inlineStr">
        <is>
          <t>+ </t>
        </is>
      </c>
      <c r="F3081" s="2" t="inlineStr">
        <is>
          <t>+ </t>
        </is>
      </c>
      <c r="H3081" s="2">
        <v>408</v>
      </c>
      <c r="I3081" s="2" t="inlineStr">
        <is>
          <t>$</t>
        </is>
      </c>
      <c r="J3081" s="2">
        <f>HYPERLINK("https://app.astro.lead-studio.pro/product/ba1565cf-5e48-4785-a19e-bf1c362b4397")</f>
      </c>
    </row>
    <row r="3082" spans="1:10" customHeight="0">
      <c r="A3082" s="2" t="inlineStr">
        <is>
          <t>Жесткие Диски</t>
        </is>
      </c>
      <c r="B3082" s="2" t="inlineStr">
        <is>
          <t>WD</t>
        </is>
      </c>
      <c r="C3082" s="2" t="inlineStr">
        <is>
          <t>WD102KFBX</t>
        </is>
      </c>
      <c r="D3082" s="2" t="inlineStr">
        <is>
          <t>Жесткий диск WD SATA-III 10TB WD102KFBX NAS Red Pro (7200rpm) 256Mb 3.5"</t>
        </is>
      </c>
      <c r="E3082" s="2" t="inlineStr">
        <is>
          <t>+ </t>
        </is>
      </c>
      <c r="F3082" s="2" t="inlineStr">
        <is>
          <t>+ </t>
        </is>
      </c>
      <c r="H3082" s="2">
        <v>413</v>
      </c>
      <c r="I3082" s="2" t="inlineStr">
        <is>
          <t>$</t>
        </is>
      </c>
      <c r="J3082" s="2">
        <f>HYPERLINK("https://app.astro.lead-studio.pro/product/83cdd35b-dfe6-4483-acc9-060cc038feb8")</f>
      </c>
    </row>
    <row r="3083" spans="1:10" customHeight="0">
      <c r="A3083" s="2" t="inlineStr">
        <is>
          <t>Жесткие Диски</t>
        </is>
      </c>
      <c r="B3083" s="2" t="inlineStr">
        <is>
          <t>WD</t>
        </is>
      </c>
      <c r="C3083" s="2" t="inlineStr">
        <is>
          <t>WD142KFGX</t>
        </is>
      </c>
      <c r="D3083" s="2" t="inlineStr">
        <is>
          <t>Жесткий диск WD SATA-III 14TB WD142KFGX NAS Red Pro (7200rpm) 512Mb 3.5"</t>
        </is>
      </c>
      <c r="E3083" s="2" t="inlineStr">
        <is>
          <t>+ </t>
        </is>
      </c>
      <c r="F3083" s="2" t="inlineStr">
        <is>
          <t>+ </t>
        </is>
      </c>
      <c r="H3083" s="2">
        <v>457</v>
      </c>
      <c r="I3083" s="2" t="inlineStr">
        <is>
          <t>$</t>
        </is>
      </c>
      <c r="J3083" s="2">
        <f>HYPERLINK("https://app.astro.lead-studio.pro/product/42fda092-7d03-4cce-b911-a2eb3c4c4bc5")</f>
      </c>
    </row>
    <row r="3084" spans="1:10" customHeight="0">
      <c r="A3084" s="2" t="inlineStr">
        <is>
          <t>Жесткие Диски</t>
        </is>
      </c>
      <c r="B3084" s="2" t="inlineStr">
        <is>
          <t>WD</t>
        </is>
      </c>
      <c r="C3084" s="2" t="inlineStr">
        <is>
          <t>WD142PURP</t>
        </is>
      </c>
      <c r="D3084" s="2" t="inlineStr">
        <is>
          <t>Жесткий диск WD SATA-III 14TB WD142PURP Surveillance Purple Pro (7200rpm) 512Mb 3.5"</t>
        </is>
      </c>
      <c r="E3084" s="2" t="inlineStr">
        <is>
          <t>+ </t>
        </is>
      </c>
      <c r="F3084" s="2" t="inlineStr">
        <is>
          <t>+ </t>
        </is>
      </c>
      <c r="H3084" s="2">
        <v>432</v>
      </c>
      <c r="I3084" s="2" t="inlineStr">
        <is>
          <t>$</t>
        </is>
      </c>
      <c r="J3084" s="2">
        <f>HYPERLINK("https://app.astro.lead-studio.pro/product/e242f852-4b27-4e6f-a220-0303a1c01a2e")</f>
      </c>
    </row>
    <row r="3085" spans="1:10" customHeight="0">
      <c r="A3085" s="2" t="inlineStr">
        <is>
          <t>Жесткие Диски</t>
        </is>
      </c>
      <c r="B3085" s="2" t="inlineStr">
        <is>
          <t>WD</t>
        </is>
      </c>
      <c r="C3085" s="2" t="inlineStr">
        <is>
          <t>0F38466</t>
        </is>
      </c>
      <c r="D3085" s="2" t="inlineStr">
        <is>
          <t>Жесткий диск WD SATA-III 16TB 0F38466 WUH721816ALE6L4 Server Ultrastar DC HC550 512E (7200rpm) 512Mb 3.5"</t>
        </is>
      </c>
      <c r="E3085" s="2" t="inlineStr">
        <is>
          <t>++ </t>
        </is>
      </c>
      <c r="F3085" s="2" t="inlineStr">
        <is>
          <t>++ </t>
        </is>
      </c>
      <c r="H3085" s="2">
        <v>400</v>
      </c>
      <c r="I3085" s="2" t="inlineStr">
        <is>
          <t>$</t>
        </is>
      </c>
      <c r="J3085" s="2">
        <f>HYPERLINK("https://app.astro.lead-studio.pro/product/07c48473-9dbf-46e1-b9ec-d91b654fd903")</f>
      </c>
    </row>
    <row r="3086" spans="1:10" customHeight="0">
      <c r="A3086" s="2" t="inlineStr">
        <is>
          <t>Жесткие Диски</t>
        </is>
      </c>
      <c r="B3086" s="2" t="inlineStr">
        <is>
          <t>WD</t>
        </is>
      </c>
      <c r="C3086" s="2" t="inlineStr">
        <is>
          <t>0F38467</t>
        </is>
      </c>
      <c r="D3086" s="2" t="inlineStr">
        <is>
          <t>Жесткий диск WD SATA-III 18TB 0F38467 WUH721818ALE6L4 Server Ultrastar DC HC550 512E (7200rpm) 512Mb 3.5"</t>
        </is>
      </c>
      <c r="E3086" s="2" t="inlineStr">
        <is>
          <t>++ </t>
        </is>
      </c>
      <c r="F3086" s="2" t="inlineStr">
        <is>
          <t>++ </t>
        </is>
      </c>
      <c r="H3086" s="2">
        <v>417</v>
      </c>
      <c r="I3086" s="2" t="inlineStr">
        <is>
          <t>$</t>
        </is>
      </c>
      <c r="J3086" s="2">
        <f>HYPERLINK("https://app.astro.lead-studio.pro/product/ce4c2cb3-33df-48eb-a545-66a3184726a4")</f>
      </c>
    </row>
    <row r="3087" spans="1:10" customHeight="0">
      <c r="A3087" s="2" t="inlineStr">
        <is>
          <t>Жесткие Диски</t>
        </is>
      </c>
      <c r="B3087" s="2" t="inlineStr">
        <is>
          <t>WD</t>
        </is>
      </c>
      <c r="C3087" s="2" t="inlineStr">
        <is>
          <t>WD181KFGX</t>
        </is>
      </c>
      <c r="D3087" s="2" t="inlineStr">
        <is>
          <t>Жесткий диск WD SATA-III 18TB WD181KFGX NAS Red Pro (7200rpm) 512Mb 3.5"</t>
        </is>
      </c>
      <c r="E3087" s="2" t="inlineStr">
        <is>
          <t>+ </t>
        </is>
      </c>
      <c r="F3087" s="2" t="inlineStr">
        <is>
          <t>+ </t>
        </is>
      </c>
      <c r="H3087" s="2">
        <v>546</v>
      </c>
      <c r="I3087" s="2" t="inlineStr">
        <is>
          <t>$</t>
        </is>
      </c>
      <c r="J3087" s="2">
        <f>HYPERLINK("https://app.astro.lead-studio.pro/product/155ddceb-9e93-4a40-86ae-83cc6cf8662e")</f>
      </c>
    </row>
    <row r="3088" spans="1:10" customHeight="0">
      <c r="A3088" s="2" t="inlineStr">
        <is>
          <t>Жесткие Диски</t>
        </is>
      </c>
      <c r="B3088" s="2" t="inlineStr">
        <is>
          <t>WD</t>
        </is>
      </c>
      <c r="C3088" s="2" t="inlineStr">
        <is>
          <t>WD181PURP</t>
        </is>
      </c>
      <c r="D3088" s="2" t="inlineStr">
        <is>
          <t>Жесткий диск WD SATA-III 18TB WD181PURP Surveillance Purple Pro (7200rpm) 512Mb 3.5"</t>
        </is>
      </c>
      <c r="E3088" s="2" t="inlineStr">
        <is>
          <t>+ </t>
        </is>
      </c>
      <c r="F3088" s="2" t="inlineStr">
        <is>
          <t>+ </t>
        </is>
      </c>
      <c r="H3088" s="2">
        <v>512</v>
      </c>
      <c r="I3088" s="2" t="inlineStr">
        <is>
          <t>$</t>
        </is>
      </c>
      <c r="J3088" s="2">
        <f>HYPERLINK("https://app.astro.lead-studio.pro/product/a474df81-5ccc-405d-a45d-827865763a06")</f>
      </c>
    </row>
    <row r="3089" spans="1:10" customHeight="0">
      <c r="A3089" s="2" t="inlineStr">
        <is>
          <t>Жесткие Диски</t>
        </is>
      </c>
      <c r="B3089" s="2" t="inlineStr">
        <is>
          <t>WD</t>
        </is>
      </c>
      <c r="C3089" s="2" t="inlineStr">
        <is>
          <t>0F38785</t>
        </is>
      </c>
      <c r="D3089" s="2" t="inlineStr">
        <is>
          <t>Жесткий диск WD SATA-III 20TB 0F38785 WUH722020BLE6L4 Server Ultrastar DC HC560 512E (7200rpm) 512Mb 3.5"</t>
        </is>
      </c>
      <c r="E3089" s="2" t="inlineStr">
        <is>
          <t>+ </t>
        </is>
      </c>
      <c r="F3089" s="2" t="inlineStr">
        <is>
          <t>+ </t>
        </is>
      </c>
      <c r="H3089" s="2">
        <v>507</v>
      </c>
      <c r="I3089" s="2" t="inlineStr">
        <is>
          <t>$</t>
        </is>
      </c>
      <c r="J3089" s="2">
        <f>HYPERLINK("https://app.astro.lead-studio.pro/product/390b9a4b-1ead-4807-b44f-d7fdc97c5981")</f>
      </c>
    </row>
    <row r="3090" spans="1:10" customHeight="0">
      <c r="A3090" s="2" t="inlineStr">
        <is>
          <t>Жесткие Диски</t>
        </is>
      </c>
      <c r="B3090" s="2" t="inlineStr">
        <is>
          <t>WD</t>
        </is>
      </c>
      <c r="C3090" s="2" t="inlineStr">
        <is>
          <t>WD202KRYZ</t>
        </is>
      </c>
      <c r="D3090" s="2" t="inlineStr">
        <is>
          <t>Жесткий диск WD SATA-III 20TB WD202KRYZ Server Gold 512E (7200rpm) 512Mb 3.5"</t>
        </is>
      </c>
      <c r="E3090" s="2" t="inlineStr">
        <is>
          <t>+ </t>
        </is>
      </c>
      <c r="F3090" s="2" t="inlineStr">
        <is>
          <t>+ </t>
        </is>
      </c>
      <c r="H3090" s="2">
        <v>661</v>
      </c>
      <c r="I3090" s="2" t="inlineStr">
        <is>
          <t>$</t>
        </is>
      </c>
      <c r="J3090" s="2">
        <f>HYPERLINK("https://app.astro.lead-studio.pro/product/cdb63b11-094c-4f16-9d5b-ec1cdffe595d")</f>
      </c>
    </row>
    <row r="3091" spans="1:10" customHeight="0">
      <c r="A3091" s="2" t="inlineStr">
        <is>
          <t>Жесткие Диски</t>
        </is>
      </c>
      <c r="B3091" s="2" t="inlineStr">
        <is>
          <t>WD</t>
        </is>
      </c>
      <c r="C3091" s="2" t="inlineStr">
        <is>
          <t>WD221KFGX</t>
        </is>
      </c>
      <c r="D3091" s="2" t="inlineStr">
        <is>
          <t>Жесткий диск WD SATA-III 22TB WD221KFGX NAS Red Pro (7200rpm) 512Mb 3.5"</t>
        </is>
      </c>
      <c r="E3091" s="2" t="inlineStr">
        <is>
          <t>+ </t>
        </is>
      </c>
      <c r="F3091" s="2" t="inlineStr">
        <is>
          <t>+ </t>
        </is>
      </c>
      <c r="H3091" s="2">
        <v>709</v>
      </c>
      <c r="I3091" s="2" t="inlineStr">
        <is>
          <t>$</t>
        </is>
      </c>
      <c r="J3091" s="2">
        <f>HYPERLINK("https://app.astro.lead-studio.pro/product/a89cdc90-a7af-4bc6-b26e-e8e3ad39ee8a")</f>
      </c>
    </row>
    <row r="3092" spans="1:10" customHeight="0">
      <c r="A3092" s="2" t="inlineStr">
        <is>
          <t>Жесткие Диски</t>
        </is>
      </c>
      <c r="B3092" s="2" t="inlineStr">
        <is>
          <t>WD</t>
        </is>
      </c>
      <c r="C3092" s="2" t="inlineStr">
        <is>
          <t>WD221KRYZ</t>
        </is>
      </c>
      <c r="D3092" s="2" t="inlineStr">
        <is>
          <t>Жесткий диск WD SATA-III 22TB WD221KRYZ Gold 512E (7200rpm) 512Mb 3.5"</t>
        </is>
      </c>
      <c r="E3092" s="2" t="inlineStr">
        <is>
          <t>+ </t>
        </is>
      </c>
      <c r="F3092" s="2" t="inlineStr">
        <is>
          <t>+ </t>
        </is>
      </c>
      <c r="H3092" s="2">
        <v>912</v>
      </c>
      <c r="I3092" s="2" t="inlineStr">
        <is>
          <t>$</t>
        </is>
      </c>
      <c r="J3092" s="2">
        <f>HYPERLINK("https://app.astro.lead-studio.pro/product/88c86af0-61ef-448d-9151-06e3c24c58f7")</f>
      </c>
    </row>
    <row r="3093" spans="1:10" customHeight="0">
      <c r="A3093" s="2" t="inlineStr">
        <is>
          <t>Жесткие Диски</t>
        </is>
      </c>
      <c r="B3093" s="2" t="inlineStr">
        <is>
          <t>WD</t>
        </is>
      </c>
      <c r="C3093" s="2" t="inlineStr">
        <is>
          <t>WD241KRYZ</t>
        </is>
      </c>
      <c r="D3093" s="2" t="inlineStr">
        <is>
          <t>Жесткий диск WD SATA-III 24TB WD241KRYZ Server Gold 512E (7200rpm) 512Mb 3.5"</t>
        </is>
      </c>
      <c r="E3093" s="2" t="inlineStr">
        <is>
          <t>+ </t>
        </is>
      </c>
      <c r="F3093" s="2" t="inlineStr">
        <is>
          <t>+ </t>
        </is>
      </c>
      <c r="H3093" s="2">
        <v>894</v>
      </c>
      <c r="I3093" s="2" t="inlineStr">
        <is>
          <t>$</t>
        </is>
      </c>
      <c r="J3093" s="2">
        <f>HYPERLINK("https://app.astro.lead-studio.pro/product/9a0d20f9-53c3-4724-b262-70ca506bd615")</f>
      </c>
    </row>
    <row r="3094" spans="1:10" customHeight="0">
      <c r="A3094" s="2" t="inlineStr">
        <is>
          <t>Жесткие Диски</t>
        </is>
      </c>
      <c r="B3094" s="2" t="inlineStr">
        <is>
          <t>WD</t>
        </is>
      </c>
      <c r="C3094" s="2" t="inlineStr">
        <is>
          <t>WD6004FRYZ</t>
        </is>
      </c>
      <c r="D3094" s="2" t="inlineStr">
        <is>
          <t>Жесткий диск WD SATA-III 6TB WD6004FRYZ Server Gold 512E (7200rpm) 256Mb 3.5"</t>
        </is>
      </c>
      <c r="E3094" s="2" t="inlineStr">
        <is>
          <t>+ </t>
        </is>
      </c>
      <c r="F3094" s="2" t="inlineStr">
        <is>
          <t>+ </t>
        </is>
      </c>
      <c r="H3094" s="2">
        <v>332</v>
      </c>
      <c r="I3094" s="2" t="inlineStr">
        <is>
          <t>$</t>
        </is>
      </c>
      <c r="J3094" s="2">
        <f>HYPERLINK("https://app.astro.lead-studio.pro/product/e249fb35-a2a0-4bfb-8544-130f07e88fe2")</f>
      </c>
    </row>
    <row r="3095" spans="1:10" customHeight="0">
      <c r="A3095" s="2" t="inlineStr">
        <is>
          <t>Материнские Платы</t>
        </is>
      </c>
      <c r="B3095" s="2" t="inlineStr">
        <is>
          <t>ASUS</t>
        </is>
      </c>
      <c r="C3095" s="2" t="inlineStr">
        <is>
          <t>PRIME Z790-A WIFI</t>
        </is>
      </c>
      <c r="D3095" s="2" t="inlineStr">
        <is>
          <t>Материнская плата Asus PRIME Z790-A WIFI Soc-1700 Intel Z790 4xDDR5 ATX AC`97 8ch(7.1) 2.5Gg RAID+HDMI+DP</t>
        </is>
      </c>
      <c r="E3095" s="2" t="inlineStr">
        <is>
          <t>+ </t>
        </is>
      </c>
      <c r="F3095" s="2" t="inlineStr">
        <is>
          <t>+ </t>
        </is>
      </c>
      <c r="H3095" s="2">
        <v>366</v>
      </c>
      <c r="I3095" s="2" t="inlineStr">
        <is>
          <t>$</t>
        </is>
      </c>
      <c r="J3095" s="2">
        <f>HYPERLINK("https://app.astro.lead-studio.pro/product/898aabb5-9356-4706-91b4-18d62ca55669")</f>
      </c>
    </row>
    <row r="3096" spans="1:10" customHeight="0">
      <c r="A3096" s="2" t="inlineStr">
        <is>
          <t>Материнские Платы</t>
        </is>
      </c>
      <c r="B3096" s="2" t="inlineStr">
        <is>
          <t>ASUS</t>
        </is>
      </c>
      <c r="C3096" s="2" t="inlineStr">
        <is>
          <t>ROG MAXIMUS Z790 APEX ENCORE</t>
        </is>
      </c>
      <c r="D3096" s="2" t="inlineStr">
        <is>
          <t>Материнская плата Asus ROG MAXIMUS Z790 APEX ENCORE Soc-1700 Intel Z790 2xDDR5 ATX AC`97 8ch(7.1) 2.5Gg RAID</t>
        </is>
      </c>
      <c r="E3096" s="2" t="inlineStr">
        <is>
          <t>+ </t>
        </is>
      </c>
      <c r="F3096" s="2" t="inlineStr">
        <is>
          <t>+ </t>
        </is>
      </c>
      <c r="H3096" s="2">
        <v>869</v>
      </c>
      <c r="I3096" s="2" t="inlineStr">
        <is>
          <t>$</t>
        </is>
      </c>
      <c r="J3096" s="2">
        <f>HYPERLINK("https://app.astro.lead-studio.pro/product/4306a6c5-e9c4-40cb-847d-728de7d5ac67")</f>
      </c>
    </row>
    <row r="3097" spans="1:10" customHeight="0">
      <c r="A3097" s="2" t="inlineStr">
        <is>
          <t>Материнские Платы</t>
        </is>
      </c>
      <c r="B3097" s="2" t="inlineStr">
        <is>
          <t>ASUS</t>
        </is>
      </c>
      <c r="C3097" s="2" t="inlineStr">
        <is>
          <t>ROG MAXIMUS Z790 DARK HERO</t>
        </is>
      </c>
      <c r="D3097" s="2" t="inlineStr">
        <is>
          <t>Материнская плата Asus ROG MAXIMUS Z790 DARK HERO Soc-1700 Intel Z790 4xDDR5 ATX AC`97 8ch(7.1) 2.5Gg RAID+HDMI</t>
        </is>
      </c>
      <c r="E3097" s="2" t="inlineStr">
        <is>
          <t>+ </t>
        </is>
      </c>
      <c r="F3097" s="2" t="inlineStr">
        <is>
          <t>+ </t>
        </is>
      </c>
      <c r="H3097" s="2">
        <v>800</v>
      </c>
      <c r="I3097" s="2" t="inlineStr">
        <is>
          <t>$</t>
        </is>
      </c>
      <c r="J3097" s="2">
        <f>HYPERLINK("https://app.astro.lead-studio.pro/product/d5fcbef7-2907-4e67-ae96-b0690b1a393c")</f>
      </c>
    </row>
    <row r="3098" spans="1:10" customHeight="0">
      <c r="A3098" s="2" t="inlineStr">
        <is>
          <t>Материнские Платы</t>
        </is>
      </c>
      <c r="B3098" s="2" t="inlineStr">
        <is>
          <t>ASUS</t>
        </is>
      </c>
      <c r="C3098" s="2" t="inlineStr">
        <is>
          <t>ROG MAXIMUS Z790 HERO</t>
        </is>
      </c>
      <c r="D3098" s="2" t="inlineStr">
        <is>
          <t>Материнская плата Asus ROG MAXIMUS Z790 HERO Soc-1700 Intel Z790 4xDDR5 ATX AC`97 8ch(7.1) 2.5Gg RAID+HDMI</t>
        </is>
      </c>
      <c r="E3098" s="2" t="inlineStr">
        <is>
          <t>+ </t>
        </is>
      </c>
      <c r="F3098" s="2" t="inlineStr">
        <is>
          <t>+ </t>
        </is>
      </c>
      <c r="H3098" s="2">
        <v>718</v>
      </c>
      <c r="I3098" s="2" t="inlineStr">
        <is>
          <t>$</t>
        </is>
      </c>
      <c r="J3098" s="2">
        <f>HYPERLINK("https://app.astro.lead-studio.pro/product/56e5b547-3f85-42cd-ba69-3a93697fe0bf")</f>
      </c>
    </row>
    <row r="3099" spans="1:10" customHeight="0">
      <c r="A3099" s="2" t="inlineStr">
        <is>
          <t>Материнские Платы</t>
        </is>
      </c>
      <c r="B3099" s="2" t="inlineStr">
        <is>
          <t>ASUS</t>
        </is>
      </c>
      <c r="C3099" s="2" t="inlineStr">
        <is>
          <t>ROG STRIX Z790-A GAMING WIFI I</t>
        </is>
      </c>
      <c r="D3099" s="2" t="inlineStr">
        <is>
          <t>Материнская плата Asus ROG STRIX Z790-A GAMING WIFI II Soc-1700 Intel Z790 4xDDR5 ATX AC`97 8ch(7.1) 2.5Gg RAID+HDMI+DP</t>
        </is>
      </c>
      <c r="E3099" s="2" t="inlineStr">
        <is>
          <t>+ </t>
        </is>
      </c>
      <c r="F3099" s="2" t="inlineStr">
        <is>
          <t>+ </t>
        </is>
      </c>
      <c r="H3099" s="2">
        <v>511</v>
      </c>
      <c r="I3099" s="2" t="inlineStr">
        <is>
          <t>$</t>
        </is>
      </c>
      <c r="J3099" s="2">
        <f>HYPERLINK("https://app.astro.lead-studio.pro/product/7974c68a-9c0e-4146-a31b-89ed916ef8e4")</f>
      </c>
    </row>
    <row r="3100" spans="1:10" customHeight="0">
      <c r="A3100" s="2" t="inlineStr">
        <is>
          <t>Материнские Платы</t>
        </is>
      </c>
      <c r="B3100" s="2" t="inlineStr">
        <is>
          <t>ASUS</t>
        </is>
      </c>
      <c r="C3100" s="2" t="inlineStr">
        <is>
          <t>ROG STRIX Z790-E GAMING WIFI I</t>
        </is>
      </c>
      <c r="D3100" s="2" t="inlineStr">
        <is>
          <t>Материнская плата Asus ROG STRIX Z790-E GAMING WIFI II Soc-1700 Intel Z790 4xDDR5 ATX AC`97 8ch(7.1) 2.5Gg RAID+HDMI+DP</t>
        </is>
      </c>
      <c r="E3100" s="2" t="inlineStr">
        <is>
          <t>+ </t>
        </is>
      </c>
      <c r="F3100" s="2" t="inlineStr">
        <is>
          <t>+ </t>
        </is>
      </c>
      <c r="H3100" s="2">
        <v>629</v>
      </c>
      <c r="I3100" s="2" t="inlineStr">
        <is>
          <t>$</t>
        </is>
      </c>
      <c r="J3100" s="2">
        <f>HYPERLINK("https://app.astro.lead-studio.pro/product/a049077b-2085-414f-b219-a7b49a094226")</f>
      </c>
    </row>
    <row r="3101" spans="1:10" customHeight="0">
      <c r="A3101" s="2" t="inlineStr">
        <is>
          <t>Материнские Платы</t>
        </is>
      </c>
      <c r="B3101" s="2" t="inlineStr">
        <is>
          <t>ASUS</t>
        </is>
      </c>
      <c r="C3101" s="2" t="inlineStr">
        <is>
          <t>ROG STRIX Z790-F GAMING WIFI I</t>
        </is>
      </c>
      <c r="D3101" s="2" t="inlineStr">
        <is>
          <t>Материнская плата Asus ROG STRIX Z790-F GAMING WIFI II Soc-1700 Intel Z790 4xDDR5 ATX AC`97 8ch(7.1) 2.5Gg RAID+HDMI+DP</t>
        </is>
      </c>
      <c r="E3101" s="2" t="inlineStr">
        <is>
          <t>+ </t>
        </is>
      </c>
      <c r="F3101" s="2" t="inlineStr">
        <is>
          <t>+ </t>
        </is>
      </c>
      <c r="H3101" s="2">
        <v>536</v>
      </c>
      <c r="I3101" s="2" t="inlineStr">
        <is>
          <t>$</t>
        </is>
      </c>
      <c r="J3101" s="2">
        <f>HYPERLINK("https://app.astro.lead-studio.pro/product/511eaf8c-1e31-44fb-81f7-9e0b48f7e670")</f>
      </c>
    </row>
    <row r="3102" spans="1:10" customHeight="0">
      <c r="A3102" s="2" t="inlineStr">
        <is>
          <t>Материнские Платы</t>
        </is>
      </c>
      <c r="B3102" s="2" t="inlineStr">
        <is>
          <t>ASUS</t>
        </is>
      </c>
      <c r="C3102" s="2" t="inlineStr">
        <is>
          <t>ROG STRIX Z790-F GAMING WIFI</t>
        </is>
      </c>
      <c r="D3102" s="2" t="inlineStr">
        <is>
          <t>Материнская плата Asus ROG STRIX Z790-F GAMING WIFI Soc-1700 Intel Z790 4xDDR5 ATX AC`97 8ch(7.1) 2.5Gg RAID+HDMI+DP</t>
        </is>
      </c>
      <c r="E3102" s="2" t="inlineStr">
        <is>
          <t>+ </t>
        </is>
      </c>
      <c r="F3102" s="2" t="inlineStr">
        <is>
          <t>+ </t>
        </is>
      </c>
      <c r="H3102" s="2">
        <v>530</v>
      </c>
      <c r="I3102" s="2" t="inlineStr">
        <is>
          <t>$</t>
        </is>
      </c>
      <c r="J3102" s="2">
        <f>HYPERLINK("https://app.astro.lead-studio.pro/product/ee0aa33e-8ca4-4966-83aa-acca5b7dc53b")</f>
      </c>
    </row>
    <row r="3103" spans="1:10" customHeight="0">
      <c r="A3103" s="2" t="inlineStr">
        <is>
          <t>Материнские Платы</t>
        </is>
      </c>
      <c r="B3103" s="2" t="inlineStr">
        <is>
          <t>GIGABYTE</t>
        </is>
      </c>
      <c r="C3103" s="2" t="inlineStr">
        <is>
          <t>Z790 AORUS PRO X WIFI7</t>
        </is>
      </c>
      <c r="D3103" s="2" t="inlineStr">
        <is>
          <t>Материнская плата Gigabyte Z790 AORUS PRO X WIFI7 Soc-1700 Intel Z790 4xDDR5 ATX AC`97 8ch(7.1) 5Gigabit RAID+HDMI+DP</t>
        </is>
      </c>
      <c r="E3103" s="2" t="inlineStr">
        <is>
          <t>+ </t>
        </is>
      </c>
      <c r="F3103" s="2" t="inlineStr">
        <is>
          <t>+ </t>
        </is>
      </c>
      <c r="H3103" s="2">
        <v>331</v>
      </c>
      <c r="I3103" s="2" t="inlineStr">
        <is>
          <t>$</t>
        </is>
      </c>
      <c r="J3103" s="2">
        <f>HYPERLINK("https://app.astro.lead-studio.pro/product/493b523c-7798-4447-88d4-1aea14b4f715")</f>
      </c>
    </row>
    <row r="3104" spans="1:10" customHeight="0">
      <c r="A3104" s="2" t="inlineStr">
        <is>
          <t>Материнские Платы</t>
        </is>
      </c>
      <c r="B3104" s="2" t="inlineStr">
        <is>
          <t>MSI</t>
        </is>
      </c>
      <c r="C3104" s="2" t="inlineStr">
        <is>
          <t>MPG Z790 CARBON WIFI II</t>
        </is>
      </c>
      <c r="D3104" s="2" t="inlineStr">
        <is>
          <t>Материнская плата MSI MPG Z790 CARBON WIFI II Soc-1700 Intel Z790 4xDDR5 ATX AC`97 8ch(7.1) 2.5Gg RAID+HDMI</t>
        </is>
      </c>
      <c r="E3104" s="2" t="inlineStr">
        <is>
          <t>+ </t>
        </is>
      </c>
      <c r="F3104" s="2" t="inlineStr">
        <is>
          <t>+ </t>
        </is>
      </c>
      <c r="H3104" s="2">
        <v>416</v>
      </c>
      <c r="I3104" s="2" t="inlineStr">
        <is>
          <t>$</t>
        </is>
      </c>
      <c r="J3104" s="2">
        <f>HYPERLINK("https://app.astro.lead-studio.pro/product/6ffd3b5e-79ba-4b38-9c86-4233e7f78bb1")</f>
      </c>
    </row>
    <row r="3105" spans="1:10" customHeight="0">
      <c r="A3105" s="2" t="inlineStr">
        <is>
          <t>Материнские Платы</t>
        </is>
      </c>
      <c r="B3105" s="2" t="inlineStr">
        <is>
          <t>MSI</t>
        </is>
      </c>
      <c r="C3105" s="2" t="inlineStr">
        <is>
          <t>MPG Z790 CARBON WIFI</t>
        </is>
      </c>
      <c r="D3105" s="2" t="inlineStr">
        <is>
          <t>Материнская плата MSI MPG Z790 CARBON WIFI Soc-1700 Intel Z790 4xDDR5 ATX AC`97 8ch(7.1) 2.5Gg RAID+HDMI</t>
        </is>
      </c>
      <c r="E3105" s="2" t="inlineStr">
        <is>
          <t>+ </t>
        </is>
      </c>
      <c r="F3105" s="2" t="inlineStr">
        <is>
          <t>+ </t>
        </is>
      </c>
      <c r="H3105" s="2">
        <v>443</v>
      </c>
      <c r="I3105" s="2" t="inlineStr">
        <is>
          <t>$</t>
        </is>
      </c>
      <c r="J3105" s="2">
        <f>HYPERLINK("https://app.astro.lead-studio.pro/product/e49df47f-12b0-45bc-96f1-a53d6626ba8d")</f>
      </c>
    </row>
    <row r="3106" spans="1:10" customHeight="0">
      <c r="A3106" s="2" t="inlineStr">
        <is>
          <t>Материнские Платы</t>
        </is>
      </c>
      <c r="B3106" s="2" t="inlineStr">
        <is>
          <t>MSI</t>
        </is>
      </c>
      <c r="C3106" s="2" t="inlineStr">
        <is>
          <t>MPG Z790 EDGE TI MAX WIFI</t>
        </is>
      </c>
      <c r="D3106" s="2" t="inlineStr">
        <is>
          <t>Материнская плата MSI MPG Z790 EDGE TI MAX WIFI Soc-1700 Intel Z790 4xDDR5 ATX AC`97 8ch(7.1) 2.5Gg RAID+HDMI+DP</t>
        </is>
      </c>
      <c r="E3106" s="2" t="inlineStr">
        <is>
          <t>+ </t>
        </is>
      </c>
      <c r="F3106" s="2" t="inlineStr">
        <is>
          <t>+ </t>
        </is>
      </c>
      <c r="H3106" s="2">
        <v>456</v>
      </c>
      <c r="I3106" s="2" t="inlineStr">
        <is>
          <t>$</t>
        </is>
      </c>
      <c r="J3106" s="2">
        <f>HYPERLINK("https://app.astro.lead-studio.pro/product/782ca8b7-d0fa-45a3-861a-511f40c95106")</f>
      </c>
    </row>
    <row r="3107" spans="1:10" customHeight="0">
      <c r="A3107" s="2" t="inlineStr">
        <is>
          <t>Материнские Платы</t>
        </is>
      </c>
      <c r="B3107" s="2" t="inlineStr">
        <is>
          <t>MSI</t>
        </is>
      </c>
      <c r="C3107" s="2" t="inlineStr">
        <is>
          <t>MPG Z790I EDGE WIFI</t>
        </is>
      </c>
      <c r="D3107" s="2" t="inlineStr">
        <is>
          <t>Материнская плата MSI MPG Z790I EDGE WIFI Soc-1700 Intel Z790 2xDDR5 mini-ITX AC`97 8ch(7.1) 2.5Gg RAID+HDMI+DP</t>
        </is>
      </c>
      <c r="E3107" s="2" t="inlineStr">
        <is>
          <t>+ </t>
        </is>
      </c>
      <c r="F3107" s="2" t="inlineStr">
        <is>
          <t>+ </t>
        </is>
      </c>
      <c r="H3107" s="2">
        <v>396</v>
      </c>
      <c r="I3107" s="2" t="inlineStr">
        <is>
          <t>$</t>
        </is>
      </c>
      <c r="J3107" s="2">
        <f>HYPERLINK("https://app.astro.lead-studio.pro/product/ce66e6a4-9b5e-4e4e-9aa9-dc936461345f")</f>
      </c>
    </row>
    <row r="3108" spans="1:10" customHeight="0">
      <c r="A3108" s="2" t="inlineStr">
        <is>
          <t>Материнские Платы</t>
        </is>
      </c>
      <c r="B3108" s="2" t="inlineStr">
        <is>
          <t>ASUS</t>
        </is>
      </c>
      <c r="C3108" s="2" t="inlineStr">
        <is>
          <t>PRIME X870-P</t>
        </is>
      </c>
      <c r="D3108" s="2" t="inlineStr">
        <is>
          <t>Материнская плата Asus PRIME X870-P SocketAM5 AMD X870 4xDDR5 ATX AC`97 8ch(7.1) 2.5Gg RAID+HDMI</t>
        </is>
      </c>
      <c r="E3108" s="2" t="inlineStr">
        <is>
          <t>+ </t>
        </is>
      </c>
      <c r="F3108" s="2" t="inlineStr">
        <is>
          <t>+ </t>
        </is>
      </c>
      <c r="H3108" s="2">
        <v>382</v>
      </c>
      <c r="I3108" s="2" t="inlineStr">
        <is>
          <t>$</t>
        </is>
      </c>
      <c r="J3108" s="2">
        <f>HYPERLINK("https://app.astro.lead-studio.pro/product/0f38461c-0c09-4f78-8696-b596caa41e92")</f>
      </c>
    </row>
    <row r="3109" spans="1:10" customHeight="0">
      <c r="A3109" s="2" t="inlineStr">
        <is>
          <t>Материнские Платы</t>
        </is>
      </c>
      <c r="B3109" s="2" t="inlineStr">
        <is>
          <t>ASUS</t>
        </is>
      </c>
      <c r="C3109" s="2" t="inlineStr">
        <is>
          <t>PRIME X870-P WIFI</t>
        </is>
      </c>
      <c r="D3109" s="2" t="inlineStr">
        <is>
          <t>Материнская плата Asus PRIME X870-P WIFI SocketAM5 AMD X870 4xDDR5 ATX AC`97 8ch(7.1) 2.5Gg RAID+HDMI</t>
        </is>
      </c>
      <c r="E3109" s="2" t="inlineStr">
        <is>
          <t>+ </t>
        </is>
      </c>
      <c r="F3109" s="2" t="inlineStr">
        <is>
          <t>+ </t>
        </is>
      </c>
      <c r="H3109" s="2">
        <v>385</v>
      </c>
      <c r="I3109" s="2" t="inlineStr">
        <is>
          <t>$</t>
        </is>
      </c>
      <c r="J3109" s="2">
        <f>HYPERLINK("https://app.astro.lead-studio.pro/product/83d3a5e3-5c69-490f-a741-3389cbc1badf")</f>
      </c>
    </row>
    <row r="3110" spans="1:10" customHeight="0">
      <c r="A3110" s="2" t="inlineStr">
        <is>
          <t>Материнские Платы</t>
        </is>
      </c>
      <c r="B3110" s="2" t="inlineStr">
        <is>
          <t>ASUS</t>
        </is>
      </c>
      <c r="C3110" s="2" t="inlineStr">
        <is>
          <t>PROART B650-CREATOR</t>
        </is>
      </c>
      <c r="D3110" s="2" t="inlineStr">
        <is>
          <t>Материнская плата Asus PROART B650-CREATOR SocketAM5 AMD B650 4xDDR5 ATX AC`97 8ch(7.1) 1 x 2.5Gigabit + Gigabit Ethernet RAID+HDMI+DP</t>
        </is>
      </c>
      <c r="E3110" s="2" t="inlineStr">
        <is>
          <t>+ </t>
        </is>
      </c>
      <c r="F3110" s="2" t="inlineStr">
        <is>
          <t>+ </t>
        </is>
      </c>
      <c r="H3110" s="2">
        <v>352</v>
      </c>
      <c r="I3110" s="2" t="inlineStr">
        <is>
          <t>$</t>
        </is>
      </c>
      <c r="J3110" s="2">
        <f>HYPERLINK("https://app.astro.lead-studio.pro/product/73e0c51a-2f2c-409d-966a-78365b29acf4")</f>
      </c>
    </row>
    <row r="3111" spans="1:10" customHeight="0">
      <c r="A3111" s="2" t="inlineStr">
        <is>
          <t>Материнские Платы</t>
        </is>
      </c>
      <c r="B3111" s="2" t="inlineStr">
        <is>
          <t>ASUS</t>
        </is>
      </c>
      <c r="C3111" s="2" t="inlineStr">
        <is>
          <t>ROG STRIX B650-A GAMING WIFI</t>
        </is>
      </c>
      <c r="D3111" s="2" t="inlineStr">
        <is>
          <t>Материнская плата Asus ROG STRIX B650-A GAMING WIFI SocketAM5 AMD B650 4xDDR5 ATX AC`97 8ch(7.1) 2.5Gg RAID+HDMI+DP</t>
        </is>
      </c>
      <c r="E3111" s="2" t="inlineStr">
        <is>
          <t>+ </t>
        </is>
      </c>
      <c r="F3111" s="2" t="inlineStr">
        <is>
          <t>+ </t>
        </is>
      </c>
      <c r="H3111" s="2">
        <v>315</v>
      </c>
      <c r="I3111" s="2" t="inlineStr">
        <is>
          <t>$</t>
        </is>
      </c>
      <c r="J3111" s="2">
        <f>HYPERLINK("https://app.astro.lead-studio.pro/product/d3eafab8-f09f-4243-b607-48789461a7d1")</f>
      </c>
    </row>
    <row r="3112" spans="1:10" customHeight="0">
      <c r="A3112" s="2" t="inlineStr">
        <is>
          <t>Материнские Платы</t>
        </is>
      </c>
      <c r="B3112" s="2" t="inlineStr">
        <is>
          <t>ASUS</t>
        </is>
      </c>
      <c r="C3112" s="2" t="inlineStr">
        <is>
          <t>ROG STRIX B650E-F GAMING WIFI</t>
        </is>
      </c>
      <c r="D3112" s="2" t="inlineStr">
        <is>
          <t>Материнская плата Asus ROG STRIX B650E-F GAMING WIFI SocketAM5 AMD B650 4xDDR5 ATX AC`97 8ch(7.1) 2.5Gg RAID+HDMI+DP</t>
        </is>
      </c>
      <c r="E3112" s="2" t="inlineStr">
        <is>
          <t>+ </t>
        </is>
      </c>
      <c r="F3112" s="2" t="inlineStr">
        <is>
          <t>+ </t>
        </is>
      </c>
      <c r="H3112" s="2">
        <v>356</v>
      </c>
      <c r="I3112" s="2" t="inlineStr">
        <is>
          <t>$</t>
        </is>
      </c>
      <c r="J3112" s="2">
        <f>HYPERLINK("https://app.astro.lead-studio.pro/product/a18ea747-c861-4ab1-bc4c-80f520d90995")</f>
      </c>
    </row>
    <row r="3113" spans="1:10" customHeight="0">
      <c r="A3113" s="2" t="inlineStr">
        <is>
          <t>Материнские Платы</t>
        </is>
      </c>
      <c r="B3113" s="2" t="inlineStr">
        <is>
          <t>ASUS</t>
        </is>
      </c>
      <c r="C3113" s="2" t="inlineStr">
        <is>
          <t>ROG STRIX X670E-F GAMING WIFI</t>
        </is>
      </c>
      <c r="D3113" s="2" t="inlineStr">
        <is>
          <t>Материнская плата Asus ROG STRIX X670E-F GAMING WIFI SocketAM5 AMD X670 4xDDR5 ATX AC`97 8ch(7.1) 2.5Gg RAID+HDMI+DP</t>
        </is>
      </c>
      <c r="E3113" s="2" t="inlineStr">
        <is>
          <t>+ </t>
        </is>
      </c>
      <c r="F3113" s="2" t="inlineStr">
        <is>
          <t>+ </t>
        </is>
      </c>
      <c r="H3113" s="2">
        <v>521</v>
      </c>
      <c r="I3113" s="2" t="inlineStr">
        <is>
          <t>$</t>
        </is>
      </c>
      <c r="J3113" s="2">
        <f>HYPERLINK("https://app.astro.lead-studio.pro/product/ea75904f-213d-4eb7-af68-493bb36f860d")</f>
      </c>
    </row>
    <row r="3114" spans="1:10" customHeight="0">
      <c r="A3114" s="2" t="inlineStr">
        <is>
          <t>Материнские Платы</t>
        </is>
      </c>
      <c r="B3114" s="2" t="inlineStr">
        <is>
          <t>ASUS</t>
        </is>
      </c>
      <c r="C3114" s="2" t="inlineStr">
        <is>
          <t>ROG STRIX X670E-I GAMING WIFI</t>
        </is>
      </c>
      <c r="D3114" s="2" t="inlineStr">
        <is>
          <t>Материнская плата Asus ROG STRIX X670E-I GAMING WIFI SocketAM5 AMD X670 2xDDR5 mini-ITX AC`97 8ch(7.1) 2.5Gg RAID+HDMI</t>
        </is>
      </c>
      <c r="E3114" s="2" t="inlineStr">
        <is>
          <t>+ </t>
        </is>
      </c>
      <c r="F3114" s="2" t="inlineStr">
        <is>
          <t>+ </t>
        </is>
      </c>
      <c r="H3114" s="2">
        <v>540</v>
      </c>
      <c r="I3114" s="2" t="inlineStr">
        <is>
          <t>$</t>
        </is>
      </c>
      <c r="J3114" s="2">
        <f>HYPERLINK("https://app.astro.lead-studio.pro/product/876aeb63-ae02-48f5-b34f-40e09ac78764")</f>
      </c>
    </row>
    <row r="3115" spans="1:10" customHeight="0">
      <c r="A3115" s="2" t="inlineStr">
        <is>
          <t>Материнские Платы</t>
        </is>
      </c>
      <c r="B3115" s="2" t="inlineStr">
        <is>
          <t>ASUS</t>
        </is>
      </c>
      <c r="C3115" s="2" t="inlineStr">
        <is>
          <t>ROG STRIX X870-A GAMING WIFI</t>
        </is>
      </c>
      <c r="D3115" s="2" t="inlineStr">
        <is>
          <t>Материнская плата Asus ROG STRIX X870-A GAMING WIFI SocketAM5 AMD X870 4xDDR5 ATX AC`97 8ch(7.1) 2.5Gg RAID+HDMI+DP</t>
        </is>
      </c>
      <c r="E3115" s="2" t="inlineStr">
        <is>
          <t>+ </t>
        </is>
      </c>
      <c r="F3115" s="2" t="inlineStr">
        <is>
          <t>+ </t>
        </is>
      </c>
      <c r="H3115" s="2">
        <v>563</v>
      </c>
      <c r="I3115" s="2" t="inlineStr">
        <is>
          <t>$</t>
        </is>
      </c>
      <c r="J3115" s="2">
        <f>HYPERLINK("https://app.astro.lead-studio.pro/product/ef87c188-6d5e-4242-8428-ba040f81405b")</f>
      </c>
    </row>
    <row r="3116" spans="1:10" customHeight="0">
      <c r="A3116" s="2" t="inlineStr">
        <is>
          <t>Материнские Платы</t>
        </is>
      </c>
      <c r="B3116" s="2" t="inlineStr">
        <is>
          <t>ASUS</t>
        </is>
      </c>
      <c r="C3116" s="2" t="inlineStr">
        <is>
          <t>ROG STRIX X870-F GAMING WIFI</t>
        </is>
      </c>
      <c r="D3116" s="2" t="inlineStr">
        <is>
          <t>Материнская плата Asus ROG STRIX X870-F GAMING WIFI SocketAM5 AMD X870 4xDDR5 ATX AC`97 8ch(7.1) 2.5Gg RAID+HDMI+DP</t>
        </is>
      </c>
      <c r="E3116" s="2" t="inlineStr">
        <is>
          <t>+ </t>
        </is>
      </c>
      <c r="F3116" s="2" t="inlineStr">
        <is>
          <t>+ </t>
        </is>
      </c>
      <c r="H3116" s="2">
        <v>613</v>
      </c>
      <c r="I3116" s="2" t="inlineStr">
        <is>
          <t>$</t>
        </is>
      </c>
      <c r="J3116" s="2">
        <f>HYPERLINK("https://app.astro.lead-studio.pro/product/4927bee1-3f88-4f01-99de-2b7c1ba9a6e4")</f>
      </c>
    </row>
    <row r="3117" spans="1:10" customHeight="0">
      <c r="A3117" s="2" t="inlineStr">
        <is>
          <t>Материнские Платы</t>
        </is>
      </c>
      <c r="B3117" s="2" t="inlineStr">
        <is>
          <t>ASUS</t>
        </is>
      </c>
      <c r="C3117" s="2" t="inlineStr">
        <is>
          <t>ROG STRIX X870-I GAMING WIFI</t>
        </is>
      </c>
      <c r="D3117" s="2" t="inlineStr">
        <is>
          <t>Материнская плата Asus ROG STRIX X870-I GAMING WIFI SocketAM5 AMD X870 2xDDR5 mini-ITX AC`97 8ch(7.1) 2.5Gg RAID+HDMI</t>
        </is>
      </c>
      <c r="E3117" s="2" t="inlineStr">
        <is>
          <t>+ </t>
        </is>
      </c>
      <c r="F3117" s="2" t="inlineStr">
        <is>
          <t>+ </t>
        </is>
      </c>
      <c r="H3117" s="2">
        <v>610</v>
      </c>
      <c r="I3117" s="2" t="inlineStr">
        <is>
          <t>$</t>
        </is>
      </c>
      <c r="J3117" s="2">
        <f>HYPERLINK("https://app.astro.lead-studio.pro/product/30b670bc-10e4-4661-8071-492171b0f74c")</f>
      </c>
    </row>
    <row r="3118" spans="1:10" customHeight="0">
      <c r="A3118" s="2" t="inlineStr">
        <is>
          <t>Материнские Платы</t>
        </is>
      </c>
      <c r="B3118" s="2" t="inlineStr">
        <is>
          <t>ASUS</t>
        </is>
      </c>
      <c r="C3118" s="2" t="inlineStr">
        <is>
          <t>TUF GAMING X870-PLUS WIFI</t>
        </is>
      </c>
      <c r="D3118" s="2" t="inlineStr">
        <is>
          <t>Материнская плата Asus TUF GAMING X870-PLUS WIFI SocketAM5 AMD X870 4xDDR5 ATX AC`97 8ch(7.1) 2.5Gg RAID+HDMI</t>
        </is>
      </c>
      <c r="E3118" s="2" t="inlineStr">
        <is>
          <t>+ </t>
        </is>
      </c>
      <c r="F3118" s="2" t="inlineStr">
        <is>
          <t>+ </t>
        </is>
      </c>
      <c r="H3118" s="2">
        <v>484</v>
      </c>
      <c r="I3118" s="2" t="inlineStr">
        <is>
          <t>$</t>
        </is>
      </c>
      <c r="J3118" s="2">
        <f>HYPERLINK("https://app.astro.lead-studio.pro/product/d300d185-be1b-48ce-adc2-dae003acd32d")</f>
      </c>
    </row>
    <row r="3119" spans="1:10" customHeight="0">
      <c r="A3119" s="2" t="inlineStr">
        <is>
          <t>Материнские Платы</t>
        </is>
      </c>
      <c r="B3119" s="2" t="inlineStr">
        <is>
          <t>GIGABYTE</t>
        </is>
      </c>
      <c r="C3119" s="2" t="inlineStr">
        <is>
          <t>X870E AORUS PRO ICE</t>
        </is>
      </c>
      <c r="D3119" s="2" t="inlineStr">
        <is>
          <t>Материнская плата Gigabyte X870E AORUS PRO ICE SocketAM5 AMD X870 4xDDR5 ATX AC`97 8ch(7.1) 2.5Gg RAID+HDMI</t>
        </is>
      </c>
      <c r="E3119" s="2" t="inlineStr">
        <is>
          <t>+ </t>
        </is>
      </c>
      <c r="F3119" s="2" t="inlineStr">
        <is>
          <t>+ </t>
        </is>
      </c>
      <c r="H3119" s="2">
        <v>481</v>
      </c>
      <c r="I3119" s="2" t="inlineStr">
        <is>
          <t>$</t>
        </is>
      </c>
      <c r="J3119" s="2">
        <f>HYPERLINK("https://app.astro.lead-studio.pro/product/1b6bcc03-46ad-4dc6-b7ab-730d97d66dfb")</f>
      </c>
    </row>
    <row r="3120" spans="1:10" customHeight="0">
      <c r="A3120" s="2" t="inlineStr">
        <is>
          <t>Накопители SSD</t>
        </is>
      </c>
      <c r="B3120" s="2" t="inlineStr">
        <is>
          <t>CRUCIAL</t>
        </is>
      </c>
      <c r="C3120" s="2" t="inlineStr">
        <is>
          <t>MTFDKCC1T9TFR-1BC1ZABYY</t>
        </is>
      </c>
      <c r="D3120" s="2" t="inlineStr">
        <is>
          <t>Накопитель SSD Crucial PCIe 4.0 x4 1.92TB MTFDKCC1T9TFR-1BC1ZABYY Micron 7450 Pro 2.5"</t>
        </is>
      </c>
      <c r="E3120" s="2" t="inlineStr">
        <is>
          <t>+ </t>
        </is>
      </c>
      <c r="F3120" s="2" t="inlineStr">
        <is>
          <t>+ </t>
        </is>
      </c>
      <c r="H3120" s="2">
        <v>555</v>
      </c>
      <c r="I3120" s="2" t="inlineStr">
        <is>
          <t>$</t>
        </is>
      </c>
      <c r="J3120" s="2">
        <f>HYPERLINK("https://app.astro.lead-studio.pro/product/7d25aff1-f6ab-4855-b10e-72389f7440d0")</f>
      </c>
    </row>
    <row r="3121" spans="1:10" customHeight="0">
      <c r="A3121" s="2" t="inlineStr">
        <is>
          <t>Накопители SSD</t>
        </is>
      </c>
      <c r="B3121" s="2" t="inlineStr">
        <is>
          <t>CRUCIAL</t>
        </is>
      </c>
      <c r="C3121" s="2" t="inlineStr">
        <is>
          <t>MTFDKCC1T6TFS-1BC1ZABYY</t>
        </is>
      </c>
      <c r="D3121" s="2" t="inlineStr">
        <is>
          <t>Накопитель SSD Crucial PCIe 4.0 x4 1600GB MTFDKCC1T6TFS-1BC1ZABYY Micron 7450 Max 2.5" 3 DWPD</t>
        </is>
      </c>
      <c r="E3121" s="2" t="inlineStr">
        <is>
          <t>+ </t>
        </is>
      </c>
      <c r="F3121" s="2" t="inlineStr">
        <is>
          <t>+ </t>
        </is>
      </c>
      <c r="H3121" s="2">
        <v>624</v>
      </c>
      <c r="I3121" s="2" t="inlineStr">
        <is>
          <t>$</t>
        </is>
      </c>
      <c r="J3121" s="2">
        <f>HYPERLINK("https://app.astro.lead-studio.pro/product/a3676ee6-68a3-403b-9c06-7bbd1f28e845")</f>
      </c>
    </row>
    <row r="3122" spans="1:10" customHeight="0">
      <c r="A3122" s="2" t="inlineStr">
        <is>
          <t>Накопители SSD</t>
        </is>
      </c>
      <c r="B3122" s="2" t="inlineStr">
        <is>
          <t>CRUCIAL</t>
        </is>
      </c>
      <c r="C3122" s="2" t="inlineStr">
        <is>
          <t>MTFDKCC3T8TFR-1BC1ZABYY</t>
        </is>
      </c>
      <c r="D3122" s="2" t="inlineStr">
        <is>
          <t>Накопитель SSD Crucial PCIe 4.0 x4 3.84TB MTFDKCC3T8TFR-1BC1ZABYY Micron 7450 Pro 2.5" 1 DWPD</t>
        </is>
      </c>
      <c r="E3122" s="2" t="inlineStr">
        <is>
          <t>+ </t>
        </is>
      </c>
      <c r="F3122" s="2" t="inlineStr">
        <is>
          <t>+ </t>
        </is>
      </c>
      <c r="H3122" s="2">
        <v>871</v>
      </c>
      <c r="I3122" s="2" t="inlineStr">
        <is>
          <t>$</t>
        </is>
      </c>
      <c r="J3122" s="2">
        <f>HYPERLINK("https://app.astro.lead-studio.pro/product/98c81f5c-b17e-4a0a-a445-68be34161e61")</f>
      </c>
    </row>
    <row r="3123" spans="1:10" customHeight="0">
      <c r="A3123" s="2" t="inlineStr">
        <is>
          <t>Накопители SSD</t>
        </is>
      </c>
      <c r="B3123" s="2" t="inlineStr">
        <is>
          <t>CRUCIAL</t>
        </is>
      </c>
      <c r="C3123" s="2" t="inlineStr">
        <is>
          <t>MTFDKCC6T4TFS-1BC1ZABYY</t>
        </is>
      </c>
      <c r="D3123" s="2" t="inlineStr">
        <is>
          <t>Накопитель SSD Crucial PCIe 4.0 x4 6.4TB MTFDKCC6T4TFS-1BC1ZABYY Micron 7450 Max 2.5" 3 DWPD</t>
        </is>
      </c>
      <c r="E3123" s="2" t="inlineStr">
        <is>
          <t>+ </t>
        </is>
      </c>
      <c r="F3123" s="2" t="inlineStr">
        <is>
          <t>+ </t>
        </is>
      </c>
      <c r="H3123" s="2">
        <v>2044</v>
      </c>
      <c r="I3123" s="2" t="inlineStr">
        <is>
          <t>$</t>
        </is>
      </c>
      <c r="J3123" s="2">
        <f>HYPERLINK("https://app.astro.lead-studio.pro/product/bb367c4f-5453-481a-8bed-a8abeea23fd2")</f>
      </c>
    </row>
    <row r="3124" spans="1:10" customHeight="0">
      <c r="A3124" s="2" t="inlineStr">
        <is>
          <t>Накопители SSD</t>
        </is>
      </c>
      <c r="B3124" s="2" t="inlineStr">
        <is>
          <t>CRUCIAL</t>
        </is>
      </c>
      <c r="C3124" s="2" t="inlineStr">
        <is>
          <t>MTFDKCC7T6TFR-1BC1ZABYY</t>
        </is>
      </c>
      <c r="D3124" s="2" t="inlineStr">
        <is>
          <t>Накопитель SSD Crucial PCIe 4.0 x4 7.68TB MTFDKCC7T6TFR-1BC1ZABYY Micron 7450 Pro 2.5" 1 DWPD</t>
        </is>
      </c>
      <c r="E3124" s="2" t="inlineStr">
        <is>
          <t>+ </t>
        </is>
      </c>
      <c r="F3124" s="2" t="inlineStr">
        <is>
          <t>+ </t>
        </is>
      </c>
      <c r="H3124" s="2">
        <v>1720</v>
      </c>
      <c r="I3124" s="2" t="inlineStr">
        <is>
          <t>$</t>
        </is>
      </c>
      <c r="J3124" s="2">
        <f>HYPERLINK("https://app.astro.lead-studio.pro/product/7db718a6-e08f-4179-b290-8f7e86bd9c40")</f>
      </c>
    </row>
    <row r="3125" spans="1:10" customHeight="0">
      <c r="A3125" s="2" t="inlineStr">
        <is>
          <t>Накопители SSD</t>
        </is>
      </c>
      <c r="B3125" s="2" t="inlineStr">
        <is>
          <t>KINGSTON</t>
        </is>
      </c>
      <c r="C3125" s="2" t="inlineStr">
        <is>
          <t>SEDC600M/1920G</t>
        </is>
      </c>
      <c r="D3125" s="2" t="inlineStr">
        <is>
          <t>Накопитель SSD Kingston SATA-III 1.92TB SEDC600M/1920G DC600M 2.5" 1 DWPD</t>
        </is>
      </c>
      <c r="E3125" s="2" t="inlineStr">
        <is>
          <t>+ </t>
        </is>
      </c>
      <c r="F3125" s="2" t="inlineStr">
        <is>
          <t>+ </t>
        </is>
      </c>
      <c r="H3125" s="2">
        <v>349</v>
      </c>
      <c r="I3125" s="2" t="inlineStr">
        <is>
          <t>$</t>
        </is>
      </c>
      <c r="J3125" s="2">
        <f>HYPERLINK("https://app.astro.lead-studio.pro/product/aef91d1c-6fc4-4258-a577-b4c9bdf25f57")</f>
      </c>
    </row>
    <row r="3126" spans="1:10" customHeight="0">
      <c r="A3126" s="2" t="inlineStr">
        <is>
          <t>Накопители SSD</t>
        </is>
      </c>
      <c r="B3126" s="2" t="inlineStr">
        <is>
          <t>KINGSTON</t>
        </is>
      </c>
      <c r="C3126" s="2" t="inlineStr">
        <is>
          <t>SEDC600M/3840G</t>
        </is>
      </c>
      <c r="D3126" s="2" t="inlineStr">
        <is>
          <t>Накопитель SSD Kingston SATA-III 3.84TB SEDC600M/3840G DC600M 2.5" 1 DWPD</t>
        </is>
      </c>
      <c r="E3126" s="2" t="inlineStr">
        <is>
          <t>++ </t>
        </is>
      </c>
      <c r="F3126" s="2" t="inlineStr">
        <is>
          <t>++ </t>
        </is>
      </c>
      <c r="H3126" s="2">
        <v>638</v>
      </c>
      <c r="I3126" s="2" t="inlineStr">
        <is>
          <t>$</t>
        </is>
      </c>
      <c r="J3126" s="2">
        <f>HYPERLINK("https://app.astro.lead-studio.pro/product/d4e70008-3d23-4e26-842b-f1342965aa9f")</f>
      </c>
    </row>
    <row r="3127" spans="1:10" customHeight="0">
      <c r="A3127" s="2" t="inlineStr">
        <is>
          <t>Накопители SSD</t>
        </is>
      </c>
      <c r="B3127" s="2" t="inlineStr">
        <is>
          <t>SAMSUNG</t>
        </is>
      </c>
      <c r="C3127" s="2" t="inlineStr">
        <is>
          <t>MZQL215THBLA-00A07</t>
        </is>
      </c>
      <c r="D3127" s="2" t="inlineStr">
        <is>
          <t>Накопитель SSD Samsung PCIe 4.0 x4 15.36TB MZQL215THBLA-00A07 PM9A3 2.5" 1 DWPD OEM</t>
        </is>
      </c>
      <c r="E3127" s="2" t="inlineStr">
        <is>
          <t>+ </t>
        </is>
      </c>
      <c r="F3127" s="2" t="inlineStr">
        <is>
          <t>+ </t>
        </is>
      </c>
      <c r="H3127" s="2">
        <v>3072</v>
      </c>
      <c r="I3127" s="2" t="inlineStr">
        <is>
          <t>$</t>
        </is>
      </c>
      <c r="J3127" s="2">
        <f>HYPERLINK("https://app.astro.lead-studio.pro/product/8dda7ad7-5742-42f0-8806-c68b2894ef84")</f>
      </c>
    </row>
    <row r="3128" spans="1:10" customHeight="0">
      <c r="A3128" s="2" t="inlineStr">
        <is>
          <t>Накопители SSD</t>
        </is>
      </c>
      <c r="B3128" s="2" t="inlineStr">
        <is>
          <t>SAMSUNG</t>
        </is>
      </c>
      <c r="C3128" s="2" t="inlineStr">
        <is>
          <t>MZQL21T9HCJR-00A07</t>
        </is>
      </c>
      <c r="D3128" s="2" t="inlineStr">
        <is>
          <t>Накопитель SSD Samsung PCIe 4.0 x4 1920GB MZQL21T9HCJR-00A07 PM9A3 2.5" 1 DWPD OEM</t>
        </is>
      </c>
      <c r="E3128" s="2" t="inlineStr">
        <is>
          <t>+ </t>
        </is>
      </c>
      <c r="F3128" s="2" t="inlineStr">
        <is>
          <t>+ </t>
        </is>
      </c>
      <c r="H3128" s="2">
        <v>500</v>
      </c>
      <c r="I3128" s="2" t="inlineStr">
        <is>
          <t>$</t>
        </is>
      </c>
      <c r="J3128" s="2">
        <f>HYPERLINK("https://app.astro.lead-studio.pro/product/4a9b6dd9-a0d1-4a21-8256-a58d7a6ad244")</f>
      </c>
    </row>
    <row r="3129" spans="1:10" customHeight="0">
      <c r="A3129" s="2" t="inlineStr">
        <is>
          <t>Накопители SSD</t>
        </is>
      </c>
      <c r="B3129" s="2" t="inlineStr">
        <is>
          <t>SAMSUNG</t>
        </is>
      </c>
      <c r="C3129" s="2" t="inlineStr">
        <is>
          <t>MZ7L31T9HBLT-00A07</t>
        </is>
      </c>
      <c r="D3129" s="2" t="inlineStr">
        <is>
          <t>Накопитель SSD Samsung SATA-III 1920GB MZ7L31T9HBLT-00A07 PM893 2.5" 1 DWPD OEM</t>
        </is>
      </c>
      <c r="E3129" s="2" t="inlineStr">
        <is>
          <t>++ </t>
        </is>
      </c>
      <c r="F3129" s="2" t="inlineStr">
        <is>
          <t>++ </t>
        </is>
      </c>
      <c r="H3129" s="2">
        <v>455</v>
      </c>
      <c r="I3129" s="2" t="inlineStr">
        <is>
          <t>$</t>
        </is>
      </c>
      <c r="J3129" s="2">
        <f>HYPERLINK("https://app.astro.lead-studio.pro/product/1fe89d0e-d10e-4a05-b5b3-046eae102d77")</f>
      </c>
    </row>
    <row r="3130" spans="1:10" customHeight="0">
      <c r="A3130" s="2" t="inlineStr">
        <is>
          <t>Накопители SSD</t>
        </is>
      </c>
      <c r="B3130" s="2" t="inlineStr">
        <is>
          <t>SAMSUNG</t>
        </is>
      </c>
      <c r="C3130" s="2" t="inlineStr">
        <is>
          <t>MZ7L31T9HBNA-00A07</t>
        </is>
      </c>
      <c r="D3130" s="2" t="inlineStr">
        <is>
          <t>Накопитель SSD Samsung SATA-III 1920GB MZ7L31T9HBNA-00A07 PM897 2.5" 3 DWPD OEM</t>
        </is>
      </c>
      <c r="E3130" s="2" t="inlineStr">
        <is>
          <t>+ </t>
        </is>
      </c>
      <c r="F3130" s="2" t="inlineStr">
        <is>
          <t>+ </t>
        </is>
      </c>
      <c r="H3130" s="2">
        <v>596</v>
      </c>
      <c r="I3130" s="2" t="inlineStr">
        <is>
          <t>$</t>
        </is>
      </c>
      <c r="J3130" s="2">
        <f>HYPERLINK("https://app.astro.lead-studio.pro/product/1bfc7be2-9afd-4bcf-a8b3-e360144122a4")</f>
      </c>
    </row>
    <row r="3131" spans="1:10" customHeight="0">
      <c r="A3131" s="2" t="inlineStr">
        <is>
          <t>Накопители SSD</t>
        </is>
      </c>
      <c r="B3131" s="2" t="inlineStr">
        <is>
          <t>SAMSUNG</t>
        </is>
      </c>
      <c r="C3131" s="2" t="inlineStr">
        <is>
          <t>MZ7L33T8HBLT-00A07</t>
        </is>
      </c>
      <c r="D3131" s="2" t="inlineStr">
        <is>
          <t>Накопитель SSD Samsung SATA-III 3.84TB MZ7L33T8HBLT-00A07 PM893 2.5" 1 DWPD OEM</t>
        </is>
      </c>
      <c r="E3131" s="2" t="inlineStr">
        <is>
          <t>+ </t>
        </is>
      </c>
      <c r="F3131" s="2" t="inlineStr">
        <is>
          <t>+ </t>
        </is>
      </c>
      <c r="H3131" s="2">
        <v>686</v>
      </c>
      <c r="I3131" s="2" t="inlineStr">
        <is>
          <t>$</t>
        </is>
      </c>
      <c r="J3131" s="2">
        <f>HYPERLINK("https://app.astro.lead-studio.pro/product/9d81a922-244e-4a11-8b7e-1197afa2639b")</f>
      </c>
    </row>
    <row r="3132" spans="1:10" customHeight="0">
      <c r="A3132" s="2" t="inlineStr">
        <is>
          <t>Накопители SSD</t>
        </is>
      </c>
      <c r="B3132" s="2" t="inlineStr">
        <is>
          <t>A-DATA</t>
        </is>
      </c>
      <c r="C3132" s="2" t="inlineStr">
        <is>
          <t>AGAMMIXS70B-4T-CS</t>
        </is>
      </c>
      <c r="D3132" s="2" t="inlineStr">
        <is>
          <t>Накопитель SSD A-Data PCIe 4.0 x4 4TB AGAMMIXS70B-4T-CS XPG Gammix S70 Blade M.2 2280</t>
        </is>
      </c>
      <c r="E3132" s="2" t="inlineStr">
        <is>
          <t>+ </t>
        </is>
      </c>
      <c r="F3132" s="2" t="inlineStr">
        <is>
          <t>+ </t>
        </is>
      </c>
      <c r="H3132" s="2">
        <v>353</v>
      </c>
      <c r="I3132" s="2" t="inlineStr">
        <is>
          <t>$</t>
        </is>
      </c>
      <c r="J3132" s="2">
        <f>HYPERLINK("https://app.astro.lead-studio.pro/product/c74ebd89-0e82-4219-bc36-52a9aa0247eb")</f>
      </c>
    </row>
    <row r="3133" spans="1:10" customHeight="0">
      <c r="A3133" s="2" t="inlineStr">
        <is>
          <t>Накопители SSD</t>
        </is>
      </c>
      <c r="B3133" s="2" t="inlineStr">
        <is>
          <t>A-DATA</t>
        </is>
      </c>
      <c r="C3133" s="2" t="inlineStr">
        <is>
          <t>ALEG-960-4TCS</t>
        </is>
      </c>
      <c r="D3133" s="2" t="inlineStr">
        <is>
          <t>Накопитель SSD A-Data PCIe 4.0 x4 4TB ALEG-960-4TCS Legend 960 M.2 2280</t>
        </is>
      </c>
      <c r="E3133" s="2" t="inlineStr">
        <is>
          <t>+ </t>
        </is>
      </c>
      <c r="F3133" s="2" t="inlineStr">
        <is>
          <t>+ </t>
        </is>
      </c>
      <c r="H3133" s="2">
        <v>350</v>
      </c>
      <c r="I3133" s="2" t="inlineStr">
        <is>
          <t>$</t>
        </is>
      </c>
      <c r="J3133" s="2">
        <f>HYPERLINK("https://app.astro.lead-studio.pro/product/57fc2eaa-cfec-4afb-9aa3-8672b171e823")</f>
      </c>
    </row>
    <row r="3134" spans="1:10" customHeight="0">
      <c r="A3134" s="2" t="inlineStr">
        <is>
          <t>Накопители SSD</t>
        </is>
      </c>
      <c r="B3134" s="2" t="inlineStr">
        <is>
          <t>AGI</t>
        </is>
      </c>
      <c r="C3134" s="2" t="inlineStr">
        <is>
          <t>AGI4T0GIMAI298</t>
        </is>
      </c>
      <c r="D3134" s="2" t="inlineStr">
        <is>
          <t>Накопитель SSD AGi PCIe 3.0 x4 4TB AGI4T0GIMAI298 AI298 M.2 2280</t>
        </is>
      </c>
      <c r="E3134" s="2" t="inlineStr">
        <is>
          <t>+ </t>
        </is>
      </c>
      <c r="F3134" s="2" t="inlineStr">
        <is>
          <t>+ </t>
        </is>
      </c>
      <c r="H3134" s="2">
        <v>346</v>
      </c>
      <c r="I3134" s="2" t="inlineStr">
        <is>
          <t>$</t>
        </is>
      </c>
      <c r="J3134" s="2">
        <f>HYPERLINK("https://app.astro.lead-studio.pro/product/a08b32e8-d5be-4534-9fe5-352b0fa001db")</f>
      </c>
    </row>
    <row r="3135" spans="1:10" customHeight="0">
      <c r="A3135" s="2" t="inlineStr">
        <is>
          <t>Накопители SSD</t>
        </is>
      </c>
      <c r="B3135" s="2" t="inlineStr">
        <is>
          <t>AGI</t>
        </is>
      </c>
      <c r="C3135" s="2" t="inlineStr">
        <is>
          <t>AGI4T0G44AI838</t>
        </is>
      </c>
      <c r="D3135" s="2" t="inlineStr">
        <is>
          <t>Накопитель SSD AGi PCIe 4.0 x4 4TB AGI4T0G44AI838 AI838 M.2 2280</t>
        </is>
      </c>
      <c r="E3135" s="2" t="inlineStr">
        <is>
          <t>+ </t>
        </is>
      </c>
      <c r="F3135" s="2" t="inlineStr">
        <is>
          <t>+ </t>
        </is>
      </c>
      <c r="H3135" s="2">
        <v>360</v>
      </c>
      <c r="I3135" s="2" t="inlineStr">
        <is>
          <t>$</t>
        </is>
      </c>
      <c r="J3135" s="2">
        <f>HYPERLINK("https://app.astro.lead-studio.pro/product/487011b6-5e57-48bf-9a65-a9008c1fa115")</f>
      </c>
    </row>
    <row r="3136" spans="1:10" customHeight="0">
      <c r="A3136" s="2" t="inlineStr">
        <is>
          <t>Накопители SSD</t>
        </is>
      </c>
      <c r="B3136" s="2" t="inlineStr">
        <is>
          <t>CRUCIAL</t>
        </is>
      </c>
      <c r="C3136" s="2" t="inlineStr">
        <is>
          <t>CT4000P3SSD8</t>
        </is>
      </c>
      <c r="D3136" s="2" t="inlineStr">
        <is>
          <t>Накопитель SSD Crucial PCIe 3.0 x4 4TB CT4000P3SSD8 P3 M.2 2280</t>
        </is>
      </c>
      <c r="E3136" s="2" t="inlineStr">
        <is>
          <t>+ </t>
        </is>
      </c>
      <c r="F3136" s="2" t="inlineStr">
        <is>
          <t>+ </t>
        </is>
      </c>
      <c r="H3136" s="2">
        <v>324</v>
      </c>
      <c r="I3136" s="2" t="inlineStr">
        <is>
          <t>$</t>
        </is>
      </c>
      <c r="J3136" s="2">
        <f>HYPERLINK("https://app.astro.lead-studio.pro/product/0ae68c00-5e57-4d9c-8aa7-50d8773a2e0f")</f>
      </c>
    </row>
    <row r="3137" spans="1:10" customHeight="0">
      <c r="A3137" s="2" t="inlineStr">
        <is>
          <t>Накопители SSD</t>
        </is>
      </c>
      <c r="B3137" s="2" t="inlineStr">
        <is>
          <t>DIGMA</t>
        </is>
      </c>
      <c r="C3137" s="2" t="inlineStr">
        <is>
          <t>DGST4004TG33T</t>
        </is>
      </c>
      <c r="D3137" s="2" t="inlineStr">
        <is>
          <t>Накопитель SSD Digma PCIe 4.0 x4 4TB DGST4004TG33T Top G3 M.2 2280</t>
        </is>
      </c>
      <c r="E3137" s="2" t="inlineStr">
        <is>
          <t>+ </t>
        </is>
      </c>
      <c r="F3137" s="2" t="inlineStr">
        <is>
          <t>+ </t>
        </is>
      </c>
      <c r="H3137" s="2">
        <v>340</v>
      </c>
      <c r="I3137" s="2" t="inlineStr">
        <is>
          <t>$</t>
        </is>
      </c>
      <c r="J3137" s="2">
        <f>HYPERLINK("https://app.astro.lead-studio.pro/product/73f3a7ed-6e75-4649-804e-963440253ffd")</f>
      </c>
    </row>
    <row r="3138" spans="1:10" customHeight="0">
      <c r="A3138" s="2" t="inlineStr">
        <is>
          <t>Накопители SSD</t>
        </is>
      </c>
      <c r="B3138" s="2" t="inlineStr">
        <is>
          <t>DIGMA PRO</t>
        </is>
      </c>
      <c r="C3138" s="2" t="inlineStr">
        <is>
          <t>DGPST5004TP6T4</t>
        </is>
      </c>
      <c r="D3138" s="2" t="inlineStr">
        <is>
          <t>Накопитель SSD Digma Pro PCIe 5.0 x4 4TB DGPST5004TP6T4 Top P6 M.2 2280</t>
        </is>
      </c>
      <c r="E3138" s="2" t="inlineStr">
        <is>
          <t>+ </t>
        </is>
      </c>
      <c r="F3138" s="2" t="inlineStr">
        <is>
          <t>+ </t>
        </is>
      </c>
      <c r="H3138" s="2">
        <v>709</v>
      </c>
      <c r="I3138" s="2" t="inlineStr">
        <is>
          <t>$</t>
        </is>
      </c>
      <c r="J3138" s="2">
        <f>HYPERLINK("https://app.astro.lead-studio.pro/product/267e6a0b-e704-4edd-892c-765c13164230")</f>
      </c>
    </row>
    <row r="3139" spans="1:10" customHeight="0">
      <c r="A3139" s="2" t="inlineStr">
        <is>
          <t>Накопители SSD</t>
        </is>
      </c>
      <c r="B3139" s="2" t="inlineStr">
        <is>
          <t>KINGSTON</t>
        </is>
      </c>
      <c r="C3139" s="2" t="inlineStr">
        <is>
          <t>SFYRD/4000G</t>
        </is>
      </c>
      <c r="D3139" s="2" t="inlineStr">
        <is>
          <t>Накопитель SSD Kingston PCIe 4.0 x4 4000GB SFYRD/4000G Fury Renegade M.2 2280</t>
        </is>
      </c>
      <c r="E3139" s="2" t="inlineStr">
        <is>
          <t>+ </t>
        </is>
      </c>
      <c r="F3139" s="2" t="inlineStr">
        <is>
          <t>+ </t>
        </is>
      </c>
      <c r="H3139" s="2">
        <v>426</v>
      </c>
      <c r="I3139" s="2" t="inlineStr">
        <is>
          <t>$</t>
        </is>
      </c>
      <c r="J3139" s="2">
        <f>HYPERLINK("https://app.astro.lead-studio.pro/product/161ff802-5372-4eb7-9095-f138adb3f433")</f>
      </c>
    </row>
    <row r="3140" spans="1:10" customHeight="0">
      <c r="A3140" s="2" t="inlineStr">
        <is>
          <t>Накопители SSD</t>
        </is>
      </c>
      <c r="B3140" s="2" t="inlineStr">
        <is>
          <t>KINGSTON</t>
        </is>
      </c>
      <c r="C3140" s="2" t="inlineStr">
        <is>
          <t>SNV3/4000G</t>
        </is>
      </c>
      <c r="D3140" s="2" t="inlineStr">
        <is>
          <t>Накопитель SSD Kingston PCIe 4.0 x4 4TB SNV3/4000G NV3 M.2 2280</t>
        </is>
      </c>
      <c r="E3140" s="2" t="inlineStr">
        <is>
          <t>+ </t>
        </is>
      </c>
      <c r="F3140" s="2" t="inlineStr">
        <is>
          <t>+ </t>
        </is>
      </c>
      <c r="H3140" s="2">
        <v>340</v>
      </c>
      <c r="I3140" s="2" t="inlineStr">
        <is>
          <t>$</t>
        </is>
      </c>
      <c r="J3140" s="2">
        <f>HYPERLINK("https://app.astro.lead-studio.pro/product/8e716d7f-a079-404e-aeb9-e2dbf1305316")</f>
      </c>
    </row>
    <row r="3141" spans="1:10" customHeight="0">
      <c r="A3141" s="2" t="inlineStr">
        <is>
          <t>Накопители SSD</t>
        </is>
      </c>
      <c r="B3141" s="2" t="inlineStr">
        <is>
          <t>PATRIOT</t>
        </is>
      </c>
      <c r="C3141" s="2" t="inlineStr">
        <is>
          <t>PV553P2TBM28H</t>
        </is>
      </c>
      <c r="D3141" s="2" t="inlineStr">
        <is>
          <t>Накопитель SSD Patriot PCIe 5.0 x4 2TB PV553P2TBM28H PV553 M.2 2280</t>
        </is>
      </c>
      <c r="E3141" s="2" t="inlineStr">
        <is>
          <t>+ </t>
        </is>
      </c>
      <c r="F3141" s="2" t="inlineStr">
        <is>
          <t>+ </t>
        </is>
      </c>
      <c r="H3141" s="2">
        <v>444</v>
      </c>
      <c r="I3141" s="2" t="inlineStr">
        <is>
          <t>$</t>
        </is>
      </c>
      <c r="J3141" s="2">
        <f>HYPERLINK("https://app.astro.lead-studio.pro/product/7def3c51-af7c-40c6-b5a4-7dd070e53155")</f>
      </c>
    </row>
    <row r="3142" spans="1:10" customHeight="0">
      <c r="A3142" s="2" t="inlineStr">
        <is>
          <t>Накопители SSD</t>
        </is>
      </c>
      <c r="B3142" s="2" t="inlineStr">
        <is>
          <t>PATRIOT</t>
        </is>
      </c>
      <c r="C3142" s="2" t="inlineStr">
        <is>
          <t>PV553P4TBM28H</t>
        </is>
      </c>
      <c r="D3142" s="2" t="inlineStr">
        <is>
          <t>Накопитель SSD Patriot PCIe 5.0 x4 4TB PV553P4TBM28H PV553 M.2 2280</t>
        </is>
      </c>
      <c r="E3142" s="2" t="inlineStr">
        <is>
          <t>+ </t>
        </is>
      </c>
      <c r="F3142" s="2" t="inlineStr">
        <is>
          <t>+ </t>
        </is>
      </c>
      <c r="H3142" s="2">
        <v>782</v>
      </c>
      <c r="I3142" s="2" t="inlineStr">
        <is>
          <t>$</t>
        </is>
      </c>
      <c r="J3142" s="2">
        <f>HYPERLINK("https://app.astro.lead-studio.pro/product/d235ea22-af60-4f5d-a0c7-595b785f461b")</f>
      </c>
    </row>
    <row r="3143" spans="1:10" customHeight="0">
      <c r="A3143" s="2" t="inlineStr">
        <is>
          <t>Накопители SSD</t>
        </is>
      </c>
      <c r="B3143" s="2" t="inlineStr">
        <is>
          <t>SAMSUNG</t>
        </is>
      </c>
      <c r="C3143" s="2" t="inlineStr">
        <is>
          <t>MZ1L23T8HBLA-00A07</t>
        </is>
      </c>
      <c r="D3143" s="2" t="inlineStr">
        <is>
          <t>Накопитель SSD Samsung PCIe 4.0 x4 3.84TB MZ1L23T8HBLA-00A07 PM9A3 M.2 22110 1 DWPD OEM</t>
        </is>
      </c>
      <c r="E3143" s="2" t="inlineStr">
        <is>
          <t>+ </t>
        </is>
      </c>
      <c r="F3143" s="2" t="inlineStr">
        <is>
          <t>+ </t>
        </is>
      </c>
      <c r="H3143" s="2">
        <v>935</v>
      </c>
      <c r="I3143" s="2" t="inlineStr">
        <is>
          <t>$</t>
        </is>
      </c>
      <c r="J3143" s="2">
        <f>HYPERLINK("https://app.astro.lead-studio.pro/product/625e5d6b-55a3-4a5b-93cd-3a578e1cf89a")</f>
      </c>
    </row>
    <row r="3144" spans="1:10" customHeight="0">
      <c r="A3144" s="2" t="inlineStr">
        <is>
          <t>Накопители SSD</t>
        </is>
      </c>
      <c r="B3144" s="2" t="inlineStr">
        <is>
          <t>SILICON POWER</t>
        </is>
      </c>
      <c r="C3144" s="2" t="inlineStr">
        <is>
          <t>SP004TBP34A60M28</t>
        </is>
      </c>
      <c r="D3144" s="2" t="inlineStr">
        <is>
          <t>Накопитель SSD Silicon Power PCIe 3.0 x4 4TB SP004TBP34A60M28 M-Series M.2 2280</t>
        </is>
      </c>
      <c r="E3144" s="2" t="inlineStr">
        <is>
          <t>+ </t>
        </is>
      </c>
      <c r="F3144" s="2" t="inlineStr">
        <is>
          <t>+ </t>
        </is>
      </c>
      <c r="H3144" s="2">
        <v>427</v>
      </c>
      <c r="I3144" s="2" t="inlineStr">
        <is>
          <t>$</t>
        </is>
      </c>
      <c r="J3144" s="2">
        <f>HYPERLINK("https://app.astro.lead-studio.pro/product/eb50b660-923a-4074-93ba-2a02ffd5aa76")</f>
      </c>
    </row>
    <row r="3145" spans="1:10" customHeight="0">
      <c r="A3145" s="2" t="inlineStr">
        <is>
          <t>Накопители SSD</t>
        </is>
      </c>
      <c r="B3145" s="2" t="inlineStr">
        <is>
          <t>SILICON POWER</t>
        </is>
      </c>
      <c r="C3145" s="2" t="inlineStr">
        <is>
          <t>SP04KGBP44US7505</t>
        </is>
      </c>
      <c r="D3145" s="2" t="inlineStr">
        <is>
          <t>Накопитель SSD Silicon Power PCIe 4.0 x4 4TB SP04KGBP44US7505 US75 M.2 2280</t>
        </is>
      </c>
      <c r="E3145" s="2" t="inlineStr">
        <is>
          <t>+ </t>
        </is>
      </c>
      <c r="F3145" s="2" t="inlineStr">
        <is>
          <t>+ </t>
        </is>
      </c>
      <c r="H3145" s="2">
        <v>427</v>
      </c>
      <c r="I3145" s="2" t="inlineStr">
        <is>
          <t>$</t>
        </is>
      </c>
      <c r="J3145" s="2">
        <f>HYPERLINK("https://app.astro.lead-studio.pro/product/28702114-dcf0-4d14-a97b-bb7c452a588a")</f>
      </c>
    </row>
    <row r="3146" spans="1:10" customHeight="0">
      <c r="A3146" s="2" t="inlineStr">
        <is>
          <t>Накопители SSD</t>
        </is>
      </c>
      <c r="B3146" s="2" t="inlineStr">
        <is>
          <t>SILICON POWER</t>
        </is>
      </c>
      <c r="C3146" s="2" t="inlineStr">
        <is>
          <t>SP04KGBP44XS7005</t>
        </is>
      </c>
      <c r="D3146" s="2" t="inlineStr">
        <is>
          <t>Накопитель SSD Silicon Power PCIe 4.0 x4 4TB SP04KGBP44XS7005 XS70 M.2 2280</t>
        </is>
      </c>
      <c r="E3146" s="2" t="inlineStr">
        <is>
          <t>+ </t>
        </is>
      </c>
      <c r="F3146" s="2" t="inlineStr">
        <is>
          <t>+ </t>
        </is>
      </c>
      <c r="H3146" s="2">
        <v>391</v>
      </c>
      <c r="I3146" s="2" t="inlineStr">
        <is>
          <t>$</t>
        </is>
      </c>
      <c r="J3146" s="2">
        <f>HYPERLINK("https://app.astro.lead-studio.pro/product/13cba73a-4432-423e-a70d-debeee59cb77")</f>
      </c>
    </row>
    <row r="3147" spans="1:10" customHeight="0">
      <c r="A3147" s="2" t="inlineStr">
        <is>
          <t>Память оперативная</t>
        </is>
      </c>
      <c r="B3147" s="2" t="inlineStr">
        <is>
          <t>ТМИ</t>
        </is>
      </c>
      <c r="C3147" s="2" t="inlineStr">
        <is>
          <t>ЦРМП.467526.006-01</t>
        </is>
      </c>
      <c r="D3147" s="2" t="inlineStr">
        <is>
          <t>Память DDR4 32GB ТМИ ЦРМП.467526.006-01 OEM PC4-25600 CL22 RDIMM ECC 288-pin 1.2В dual rank OEM</t>
        </is>
      </c>
      <c r="E3147" s="2" t="inlineStr">
        <is>
          <t>+ </t>
        </is>
      </c>
      <c r="F3147" s="2" t="inlineStr">
        <is>
          <t>+ </t>
        </is>
      </c>
      <c r="H3147" s="2">
        <v>422</v>
      </c>
      <c r="I3147" s="2" t="inlineStr">
        <is>
          <t>$</t>
        </is>
      </c>
      <c r="J3147" s="2">
        <f>HYPERLINK("https://app.astro.lead-studio.pro/product/a4d3ce91-4b52-4dc3-b714-bc746bed35c5")</f>
      </c>
    </row>
    <row r="3148" spans="1:10" customHeight="0">
      <c r="A3148" s="2" t="inlineStr">
        <is>
          <t>Память оперативная</t>
        </is>
      </c>
      <c r="B3148" s="2" t="inlineStr">
        <is>
          <t>KINGSTON</t>
        </is>
      </c>
      <c r="C3148" s="2" t="inlineStr">
        <is>
          <t>KF572C38RSAK2-48</t>
        </is>
      </c>
      <c r="D3148" s="2" t="inlineStr">
        <is>
          <t>Память DDR5 2x24GB 7200MHz Kingston KF572C38RSAK2-48 Fury Renegade XMP RGB RTL Gaming PC5-57600 CL38 DIMM 288-pin 1.45В kit single rank с радиатором Ret</t>
        </is>
      </c>
      <c r="E3148" s="2" t="inlineStr">
        <is>
          <t>+ </t>
        </is>
      </c>
      <c r="F3148" s="2" t="inlineStr">
        <is>
          <t>+ </t>
        </is>
      </c>
      <c r="H3148" s="2">
        <v>375</v>
      </c>
      <c r="I3148" s="2" t="inlineStr">
        <is>
          <t>$</t>
        </is>
      </c>
      <c r="J3148" s="2">
        <f>HYPERLINK("https://app.astro.lead-studio.pro/product/4d65a22b-8c46-499b-9457-7438b43a1d5f")</f>
      </c>
    </row>
    <row r="3149" spans="1:10" customHeight="0">
      <c r="A3149" s="2" t="inlineStr">
        <is>
          <t>Компьютеры</t>
        </is>
      </c>
      <c r="B3149" s="2" t="inlineStr">
        <is>
          <t>IRU</t>
        </is>
      </c>
      <c r="C3149" s="2" t="inlineStr">
        <is>
          <t>2044138</t>
        </is>
      </c>
      <c r="D3149" s="2" t="inlineStr">
        <is>
          <t>ПК IRU Опал 615 MT i5 12400 (2.5) 8Gb SSD256Gb UHDG 730 FreeDOS GbitEth 400W черный (2044138)</t>
        </is>
      </c>
      <c r="E3149" s="2" t="inlineStr">
        <is>
          <t>+ </t>
        </is>
      </c>
      <c r="F3149" s="2" t="inlineStr">
        <is>
          <t>+ </t>
        </is>
      </c>
      <c r="H3149" s="2">
        <v>563</v>
      </c>
      <c r="I3149" s="2" t="inlineStr">
        <is>
          <t>$</t>
        </is>
      </c>
      <c r="J3149" s="2">
        <f>HYPERLINK("https://app.astro.lead-studio.pro/product/26c9fb5b-9715-4baa-9708-68019d4d07e0")</f>
      </c>
    </row>
    <row r="3150" spans="1:10" customHeight="0">
      <c r="A3150" s="2" t="inlineStr">
        <is>
          <t>Компьютеры</t>
        </is>
      </c>
      <c r="B3150" s="2" t="inlineStr">
        <is>
          <t>B4COM</t>
        </is>
      </c>
      <c r="C3150" s="2" t="inlineStr">
        <is>
          <t>B4T-TNC-500 SB1</t>
        </is>
      </c>
      <c r="D3150" s="2" t="inlineStr">
        <is>
          <t>Тонкий Клиент B4Com TNC-500 SB1 Cel 5905 (3.5) 4Gb SSD120Gb UHDG 610 без ОС GbitEth (RUS) (B4T-TNC-500 SB1)</t>
        </is>
      </c>
      <c r="E3150" s="2" t="inlineStr">
        <is>
          <t>+ </t>
        </is>
      </c>
      <c r="F3150" s="2" t="inlineStr">
        <is>
          <t>+ </t>
        </is>
      </c>
      <c r="H3150" s="2">
        <v>1113</v>
      </c>
      <c r="I3150" s="2" t="inlineStr">
        <is>
          <t>$</t>
        </is>
      </c>
      <c r="J3150" s="2">
        <f>HYPERLINK("https://app.astro.lead-studio.pro/product/2184b0c6-4830-4097-b703-53257bf134cd")</f>
      </c>
    </row>
    <row r="3151" spans="1:10" customHeight="0">
      <c r="A3151" s="2" t="inlineStr">
        <is>
          <t>Компьютеры</t>
        </is>
      </c>
      <c r="B3151" s="2" t="inlineStr">
        <is>
          <t>KVADRA</t>
        </is>
      </c>
      <c r="C3151" s="2" t="inlineStr">
        <is>
          <t>Y20SYSCAS101R_2931B0</t>
        </is>
      </c>
      <c r="D3151" s="2" t="inlineStr">
        <is>
          <t>ПК Kvadra D20 MT i5 10400 (2.9) 16Gb 512Gb UHDG 630 без ОС 120W (Y20SYSCAS101R_2931B0)</t>
        </is>
      </c>
      <c r="E3151" s="2" t="inlineStr">
        <is>
          <t>++ </t>
        </is>
      </c>
      <c r="F3151" s="2" t="inlineStr">
        <is>
          <t>++ </t>
        </is>
      </c>
      <c r="H3151" s="2">
        <v>1616</v>
      </c>
      <c r="I3151" s="2" t="inlineStr">
        <is>
          <t>$</t>
        </is>
      </c>
      <c r="J3151" s="2">
        <f>HYPERLINK("https://app.astro.lead-studio.pro/product/afecf484-64b5-4dbf-b47b-55651233e1a6")</f>
      </c>
    </row>
    <row r="3152" spans="1:10" customHeight="0">
      <c r="A3152" s="2" t="inlineStr">
        <is>
          <t>Компьютеры</t>
        </is>
      </c>
      <c r="B3152" s="2" t="inlineStr">
        <is>
          <t>KVADRA</t>
        </is>
      </c>
      <c r="C3152" s="2" t="inlineStr">
        <is>
          <t>Y20SYSCAS201R_C81482</t>
        </is>
      </c>
      <c r="D3152" s="2" t="inlineStr">
        <is>
          <t>ПК Kvadra TAU MT i5 12400 (2.5) 8Gb 500Gb SSD256Gb без ОС 350W мышь клавиатура (Y20SYSCAS201R_C81482)</t>
        </is>
      </c>
      <c r="E3152" s="2" t="inlineStr">
        <is>
          <t>+++ </t>
        </is>
      </c>
      <c r="F3152" s="2" t="inlineStr">
        <is>
          <t>+++ </t>
        </is>
      </c>
      <c r="H3152" s="2">
        <v>1217</v>
      </c>
      <c r="I3152" s="2" t="inlineStr">
        <is>
          <t>$</t>
        </is>
      </c>
      <c r="J3152" s="2">
        <f>HYPERLINK("https://app.astro.lead-studio.pro/product/8740d5df-16f7-47c9-9ee9-2833f25f7e1f")</f>
      </c>
    </row>
    <row r="3153" spans="1:10" customHeight="0">
      <c r="A3153" s="2" t="inlineStr">
        <is>
          <t>Компьютеры</t>
        </is>
      </c>
      <c r="B3153" s="2" t="inlineStr">
        <is>
          <t>KVADRA</t>
        </is>
      </c>
      <c r="C3153" s="2" t="inlineStr">
        <is>
          <t>Y25SYSCOM303C_857F58</t>
        </is>
      </c>
      <c r="D3153" s="2" t="inlineStr">
        <is>
          <t>ПК АРМ Kvadra TAU MT i5 12400 (2.5) 16Gb 1Tb+512Gb без ОС 350W мышь клавиатура монитор в комплекте 23.8" (Y25SYSCOM303C_857F58)</t>
        </is>
      </c>
      <c r="E3153" s="2" t="inlineStr">
        <is>
          <t>+ </t>
        </is>
      </c>
      <c r="F3153" s="2" t="inlineStr">
        <is>
          <t>+ </t>
        </is>
      </c>
      <c r="H3153" s="2">
        <v>1267</v>
      </c>
      <c r="I3153" s="2" t="inlineStr">
        <is>
          <t>$</t>
        </is>
      </c>
      <c r="J3153" s="2">
        <f>HYPERLINK("https://app.astro.lead-studio.pro/product/091a2008-3070-4a4e-b07d-b3741a79a544")</f>
      </c>
    </row>
    <row r="3154" spans="1:10" customHeight="0">
      <c r="A3154" s="2" t="inlineStr">
        <is>
          <t>Компьютеры</t>
        </is>
      </c>
      <c r="B3154" s="2" t="inlineStr">
        <is>
          <t>LENOVO</t>
        </is>
      </c>
      <c r="C3154" s="2" t="inlineStr">
        <is>
          <t>12LN0028RU</t>
        </is>
      </c>
      <c r="D3154" s="2" t="inlineStr">
        <is>
          <t>Неттоп Lenovo ThinkCentre Neo 50q Gen 4 i3 1215U (1.2) 8Gb SSD256Gb UHDG без ОС GbitEth WiFi BT 65W kb мышь клавиатура черный (12LN0028RU)</t>
        </is>
      </c>
      <c r="E3154" s="2" t="inlineStr">
        <is>
          <t>+++ </t>
        </is>
      </c>
      <c r="F3154" s="2" t="inlineStr">
        <is>
          <t>+++ </t>
        </is>
      </c>
      <c r="H3154" s="2">
        <v>514</v>
      </c>
      <c r="I3154" s="2" t="inlineStr">
        <is>
          <t>$</t>
        </is>
      </c>
      <c r="J3154" s="2">
        <f>HYPERLINK("https://app.astro.lead-studio.pro/product/5ec20d06-b532-4a3a-b690-2ef61db75ca6")</f>
      </c>
    </row>
    <row r="3155" spans="1:10" customHeight="0">
      <c r="A3155" s="2" t="inlineStr">
        <is>
          <t>Компьютеры</t>
        </is>
      </c>
      <c r="B3155" s="2" t="inlineStr">
        <is>
          <t>LENOVO</t>
        </is>
      </c>
      <c r="C3155" s="2" t="inlineStr">
        <is>
          <t>12LN003LGP</t>
        </is>
      </c>
      <c r="D3155" s="2" t="inlineStr">
        <is>
          <t>Неттоп Lenovo ThinkCentre Neo 50q Gen 4 i3 1215U (1.2) 8Gb SSD512Gb UHDG без ОС GbitEth WiFi BT 65W kb мышь клавиатура черный (12LN003LGP)</t>
        </is>
      </c>
      <c r="E3155" s="2" t="inlineStr">
        <is>
          <t>+++ </t>
        </is>
      </c>
      <c r="F3155" s="2" t="inlineStr">
        <is>
          <t>+++ </t>
        </is>
      </c>
      <c r="H3155" s="2">
        <v>519</v>
      </c>
      <c r="I3155" s="2" t="inlineStr">
        <is>
          <t>$</t>
        </is>
      </c>
      <c r="J3155" s="2">
        <f>HYPERLINK("https://app.astro.lead-studio.pro/product/8b38c191-559c-4bb6-bdc3-fc122f050d67")</f>
      </c>
    </row>
    <row r="3156" spans="1:10" customHeight="0">
      <c r="A3156" s="2" t="inlineStr">
        <is>
          <t>Компьютеры</t>
        </is>
      </c>
      <c r="B3156" s="2" t="inlineStr">
        <is>
          <t>LENOVO</t>
        </is>
      </c>
      <c r="C3156" s="2" t="inlineStr">
        <is>
          <t>12E4S7KD00</t>
        </is>
      </c>
      <c r="D3156" s="2" t="inlineStr">
        <is>
          <t>Неттоп Lenovo ThinkCentre Tiny M70q-4 slim i5 13400T (1.3) 8Gb SSD256Gb UHDG 730 Windows 11 Pro 64 GbitEth WiFi BT 90W kb мышь клавиатура черный (12E4S7KD00)</t>
        </is>
      </c>
      <c r="E3156" s="2" t="inlineStr">
        <is>
          <t>+ </t>
        </is>
      </c>
      <c r="F3156" s="2" t="inlineStr">
        <is>
          <t>+ </t>
        </is>
      </c>
      <c r="H3156" s="2">
        <v>910</v>
      </c>
      <c r="I3156" s="2" t="inlineStr">
        <is>
          <t>$</t>
        </is>
      </c>
      <c r="J3156" s="2">
        <f>HYPERLINK("https://app.astro.lead-studio.pro/product/f08af8d8-4945-44e4-af99-e41502ddd50b")</f>
      </c>
    </row>
    <row r="3157" spans="1:10" customHeight="0">
      <c r="A3157" s="2" t="inlineStr">
        <is>
          <t>Компьютеры</t>
        </is>
      </c>
      <c r="B3157" s="2" t="inlineStr">
        <is>
          <t>LENOVO</t>
        </is>
      </c>
      <c r="C3157" s="2" t="inlineStr">
        <is>
          <t>12E4S7K900</t>
        </is>
      </c>
      <c r="D3157" s="2" t="inlineStr">
        <is>
          <t>Неттоп Lenovo ThinkCentre Tiny M70q-4 slim i5 13400T (1.3) 8Gb SSD512Gb UHDG 730 Windows 11 Pro 64 GbitEth WiFi BT 90W kb мышь клавиатура черный (12E4S7K900)</t>
        </is>
      </c>
      <c r="E3157" s="2" t="inlineStr">
        <is>
          <t>+ </t>
        </is>
      </c>
      <c r="F3157" s="2" t="inlineStr">
        <is>
          <t>+ </t>
        </is>
      </c>
      <c r="H3157" s="2">
        <v>872</v>
      </c>
      <c r="I3157" s="2" t="inlineStr">
        <is>
          <t>$</t>
        </is>
      </c>
      <c r="J3157" s="2">
        <f>HYPERLINK("https://app.astro.lead-studio.pro/product/ecadb2f8-5ec6-45ae-83a3-5c193d621082")</f>
      </c>
    </row>
    <row r="3158" spans="1:10" customHeight="0">
      <c r="A3158" s="2" t="inlineStr">
        <is>
          <t>Компьютеры</t>
        </is>
      </c>
      <c r="B3158" s="2" t="inlineStr">
        <is>
          <t>LENOVO</t>
        </is>
      </c>
      <c r="C3158" s="2" t="inlineStr">
        <is>
          <t>30GUSGUM00</t>
        </is>
      </c>
      <c r="D3158" s="2" t="inlineStr">
        <is>
          <t>ПК Lenovo ThinkStation P3t MT i7 13700 (2.1) 16Gb SSD512Gb T400 4Gb CR Windows 11 Pro 64 GbitEth 500W kb мышь клавиатура черный (30GUSGUM00)</t>
        </is>
      </c>
      <c r="E3158" s="2" t="inlineStr">
        <is>
          <t>+ </t>
        </is>
      </c>
      <c r="F3158" s="2" t="inlineStr">
        <is>
          <t>+ </t>
        </is>
      </c>
      <c r="H3158" s="2">
        <v>2304</v>
      </c>
      <c r="I3158" s="2" t="inlineStr">
        <is>
          <t>$</t>
        </is>
      </c>
      <c r="J3158" s="2">
        <f>HYPERLINK("https://app.astro.lead-studio.pro/product/0989f556-f062-4ef5-aec8-1bf2f086deef")</f>
      </c>
    </row>
    <row r="3159" spans="1:10" customHeight="0">
      <c r="A3159" s="2" t="inlineStr">
        <is>
          <t>Компьютеры</t>
        </is>
      </c>
      <c r="B3159" s="2" t="inlineStr">
        <is>
          <t>LENOVO</t>
        </is>
      </c>
      <c r="C3159" s="2" t="inlineStr">
        <is>
          <t>30GUSGUR00</t>
        </is>
      </c>
      <c r="D3159" s="2" t="inlineStr">
        <is>
          <t>ПК Lenovo ThinkStation P3t MT i7 13700 (2.1) 32Gb SSD1Tb UHDG 770 CR Windows 11 Pro 64 GbitEth 750W kb мышь клавиатура черный (30GUSGUR00)</t>
        </is>
      </c>
      <c r="E3159" s="2" t="inlineStr">
        <is>
          <t>+ </t>
        </is>
      </c>
      <c r="F3159" s="2" t="inlineStr">
        <is>
          <t>+ </t>
        </is>
      </c>
      <c r="H3159" s="2">
        <v>2228</v>
      </c>
      <c r="I3159" s="2" t="inlineStr">
        <is>
          <t>$</t>
        </is>
      </c>
      <c r="J3159" s="2">
        <f>HYPERLINK("https://app.astro.lead-studio.pro/product/e26f549a-3012-438e-9d8a-51dd28754f36")</f>
      </c>
    </row>
    <row r="3160" spans="1:10" customHeight="0">
      <c r="A3160" s="2" t="inlineStr">
        <is>
          <t>Компьютеры</t>
        </is>
      </c>
      <c r="B3160" s="2" t="inlineStr">
        <is>
          <t>ACER</t>
        </is>
      </c>
      <c r="C3160" s="2" t="inlineStr">
        <is>
          <t>DQ.BL9CD.006</t>
        </is>
      </c>
      <c r="D3160" s="2" t="inlineStr">
        <is>
          <t>Моноблок Acer Aspire C22-1610 21.5" Full HD i3 N305 (1.8) 8Gb SSD512Gb UHDG CR Eshell GbitEth WiFi BT 65W клавиатура мышь Cam черный 1920x1080</t>
        </is>
      </c>
      <c r="E3160" s="2" t="inlineStr">
        <is>
          <t>+++ </t>
        </is>
      </c>
      <c r="F3160" s="2" t="inlineStr">
        <is>
          <t>+++ </t>
        </is>
      </c>
      <c r="H3160" s="2">
        <v>581</v>
      </c>
      <c r="I3160" s="2" t="inlineStr">
        <is>
          <t>$</t>
        </is>
      </c>
      <c r="J3160" s="2">
        <f>HYPERLINK("https://app.astro.lead-studio.pro/product/a0572c4d-91aa-4b86-a014-c43e3f6eacd3")</f>
      </c>
    </row>
    <row r="3161" spans="1:10" customHeight="0">
      <c r="A3161" s="2" t="inlineStr">
        <is>
          <t>Компьютеры</t>
        </is>
      </c>
      <c r="B3161" s="2" t="inlineStr">
        <is>
          <t>ACER</t>
        </is>
      </c>
      <c r="C3161" s="2" t="inlineStr">
        <is>
          <t>DQ.BLGCD.00A</t>
        </is>
      </c>
      <c r="D3161" s="2" t="inlineStr">
        <is>
          <t>Моноблок Acer Aspire C22-1800 21.5" Full HD i3 1305U (1.6) 8Gb SSD512Gb UHDG CR Eshell GbitEth WiFi BT 65W клавиатура мышь Cam черный 1920x1080</t>
        </is>
      </c>
      <c r="E3161" s="2" t="inlineStr">
        <is>
          <t>+ </t>
        </is>
      </c>
      <c r="F3161" s="2" t="inlineStr">
        <is>
          <t>+ </t>
        </is>
      </c>
      <c r="H3161" s="2">
        <v>651</v>
      </c>
      <c r="I3161" s="2" t="inlineStr">
        <is>
          <t>$</t>
        </is>
      </c>
      <c r="J3161" s="2">
        <f>HYPERLINK("https://app.astro.lead-studio.pro/product/74094b90-157c-4b80-928d-6f3b1f7109b4")</f>
      </c>
    </row>
    <row r="3162" spans="1:10" customHeight="0">
      <c r="A3162" s="2" t="inlineStr">
        <is>
          <t>Компьютеры</t>
        </is>
      </c>
      <c r="B3162" s="2" t="inlineStr">
        <is>
          <t>ACER</t>
        </is>
      </c>
      <c r="C3162" s="2" t="inlineStr">
        <is>
          <t>DQ.BKGCD.006</t>
        </is>
      </c>
      <c r="D3162" s="2" t="inlineStr">
        <is>
          <t>Моноблок Acer Aspire C22-1800 21.5" Full HD i3 1315U (1.2) 8Gb SSD512Gb UHDG CR Eshell GbitEth WiFi BT 65W клавиатура мышь Cam черный 1920x1080</t>
        </is>
      </c>
      <c r="E3162" s="2" t="inlineStr">
        <is>
          <t>+ </t>
        </is>
      </c>
      <c r="F3162" s="2" t="inlineStr">
        <is>
          <t>+ </t>
        </is>
      </c>
      <c r="H3162" s="2">
        <v>614</v>
      </c>
      <c r="I3162" s="2" t="inlineStr">
        <is>
          <t>$</t>
        </is>
      </c>
      <c r="J3162" s="2">
        <f>HYPERLINK("https://app.astro.lead-studio.pro/product/1eb874d5-3400-45d8-ae9c-2a20d6e1f2ea")</f>
      </c>
    </row>
    <row r="3163" spans="1:10" customHeight="0">
      <c r="A3163" s="2" t="inlineStr">
        <is>
          <t>Компьютеры</t>
        </is>
      </c>
      <c r="B3163" s="2" t="inlineStr">
        <is>
          <t>ACER</t>
        </is>
      </c>
      <c r="C3163" s="2" t="inlineStr">
        <is>
          <t>DQ.BN6CD.003</t>
        </is>
      </c>
      <c r="D3163" s="2" t="inlineStr">
        <is>
          <t>Моноблок Acer Aspire C22-1800 21.5" Full HD i5 1334U (1.3) 8Gb SSD512Gb Iris Xe CR Eshell GbitEth WiFi BT 65W клавиатура мышь Cam черный 1920x1080</t>
        </is>
      </c>
      <c r="E3163" s="2" t="inlineStr">
        <is>
          <t>+ </t>
        </is>
      </c>
      <c r="F3163" s="2" t="inlineStr">
        <is>
          <t>+ </t>
        </is>
      </c>
      <c r="H3163" s="2">
        <v>696</v>
      </c>
      <c r="I3163" s="2" t="inlineStr">
        <is>
          <t>$</t>
        </is>
      </c>
      <c r="J3163" s="2">
        <f>HYPERLINK("https://app.astro.lead-studio.pro/product/c8efc6e9-31fa-4e4c-9ba6-6798caca4e88")</f>
      </c>
    </row>
    <row r="3164" spans="1:10" customHeight="0">
      <c r="A3164" s="2" t="inlineStr">
        <is>
          <t>Компьютеры</t>
        </is>
      </c>
      <c r="B3164" s="2" t="inlineStr">
        <is>
          <t>ACER</t>
        </is>
      </c>
      <c r="C3164" s="2" t="inlineStr">
        <is>
          <t>DQ.BKRCD.006</t>
        </is>
      </c>
      <c r="D3164" s="2" t="inlineStr">
        <is>
          <t>Моноблок Acer Aspire C24-1300 23.8" Full HD Ryzen 3 7320U (2.4) 8Gb SSD512Gb RGr CR Eshell GbitEth WiFi BT 65W клавиатура мышь Cam черный 1920x1080</t>
        </is>
      </c>
      <c r="E3164" s="2" t="inlineStr">
        <is>
          <t>+++ </t>
        </is>
      </c>
      <c r="F3164" s="2" t="inlineStr">
        <is>
          <t>+++ </t>
        </is>
      </c>
      <c r="H3164" s="2">
        <v>635</v>
      </c>
      <c r="I3164" s="2" t="inlineStr">
        <is>
          <t>$</t>
        </is>
      </c>
      <c r="J3164" s="2">
        <f>HYPERLINK("https://app.astro.lead-studio.pro/product/fccfbed4-0e0c-4a6f-8c89-9d18cb507811")</f>
      </c>
    </row>
    <row r="3165" spans="1:10" customHeight="0">
      <c r="A3165" s="2" t="inlineStr">
        <is>
          <t>Компьютеры</t>
        </is>
      </c>
      <c r="B3165" s="2" t="inlineStr">
        <is>
          <t>ACER</t>
        </is>
      </c>
      <c r="C3165" s="2" t="inlineStr">
        <is>
          <t>DQ.BL0CD.005</t>
        </is>
      </c>
      <c r="D3165" s="2" t="inlineStr">
        <is>
          <t>Моноблок Acer Aspire C24-1300 23.8" Full HD Ryzen 5 7520U (2.8) 16Gb SSD512Gb RGr CR Eshell GbitEth WiFi BT 65W клавиатура мышь Cam черный 1920x1080</t>
        </is>
      </c>
      <c r="E3165" s="2" t="inlineStr">
        <is>
          <t>+++ </t>
        </is>
      </c>
      <c r="F3165" s="2" t="inlineStr">
        <is>
          <t>+++ </t>
        </is>
      </c>
      <c r="H3165" s="2">
        <v>779</v>
      </c>
      <c r="I3165" s="2" t="inlineStr">
        <is>
          <t>$</t>
        </is>
      </c>
      <c r="J3165" s="2">
        <f>HYPERLINK("https://app.astro.lead-studio.pro/product/faf781fe-d2de-45ff-b2b5-8deb3b9a07be")</f>
      </c>
    </row>
    <row r="3166" spans="1:10" customHeight="0">
      <c r="A3166" s="2" t="inlineStr">
        <is>
          <t>Компьютеры</t>
        </is>
      </c>
      <c r="B3166" s="2" t="inlineStr">
        <is>
          <t>ACER</t>
        </is>
      </c>
      <c r="C3166" s="2" t="inlineStr">
        <is>
          <t>DQ.BL0CD.00A</t>
        </is>
      </c>
      <c r="D3166" s="2" t="inlineStr">
        <is>
          <t>Моноблок Acer Aspire C24-1300 23.8" Full HD Ryzen 5 7520U (2.8) 8Gb SSD512Gb RGr CR Eshell GbitEth WiFi BT 65W клавиатура мышь Cam черный 1920x1080</t>
        </is>
      </c>
      <c r="E3166" s="2" t="inlineStr">
        <is>
          <t>+++ </t>
        </is>
      </c>
      <c r="F3166" s="2" t="inlineStr">
        <is>
          <t>+++ </t>
        </is>
      </c>
      <c r="H3166" s="2">
        <v>690</v>
      </c>
      <c r="I3166" s="2" t="inlineStr">
        <is>
          <t>$</t>
        </is>
      </c>
      <c r="J3166" s="2">
        <f>HYPERLINK("https://app.astro.lead-studio.pro/product/6d1a2212-cc2f-42a5-90be-0e37fecb61ec")</f>
      </c>
    </row>
    <row r="3167" spans="1:10" customHeight="0">
      <c r="A3167" s="2" t="inlineStr">
        <is>
          <t>Компьютеры</t>
        </is>
      </c>
      <c r="B3167" s="2" t="inlineStr">
        <is>
          <t>ACER</t>
        </is>
      </c>
      <c r="C3167" s="2" t="inlineStr">
        <is>
          <t>DQ.BLCCD.003</t>
        </is>
      </c>
      <c r="D3167" s="2" t="inlineStr">
        <is>
          <t>Моноблок Acer Aspire C24-1610 23.8" Full HD i3 N305 (1.8) 16Gb SSD512Gb UHDG CR Eshell WiFi BT 65W клавиатура мышь Cam черный 1920x1080</t>
        </is>
      </c>
      <c r="E3167" s="2" t="inlineStr">
        <is>
          <t>+++ </t>
        </is>
      </c>
      <c r="F3167" s="2" t="inlineStr">
        <is>
          <t>+++ </t>
        </is>
      </c>
      <c r="H3167" s="2">
        <v>699</v>
      </c>
      <c r="I3167" s="2" t="inlineStr">
        <is>
          <t>$</t>
        </is>
      </c>
      <c r="J3167" s="2">
        <f>HYPERLINK("https://app.astro.lead-studio.pro/product/90846966-8895-47b9-9fa4-6d048577b7ff")</f>
      </c>
    </row>
    <row r="3168" spans="1:10" customHeight="0">
      <c r="A3168" s="2" t="inlineStr">
        <is>
          <t>Компьютеры</t>
        </is>
      </c>
      <c r="B3168" s="2" t="inlineStr">
        <is>
          <t>ACER</t>
        </is>
      </c>
      <c r="C3168" s="2" t="inlineStr">
        <is>
          <t>DQ.BLCCD.005</t>
        </is>
      </c>
      <c r="D3168" s="2" t="inlineStr">
        <is>
          <t>Моноблок Acer Aspire C24-1610 23.8" Full HD i3 N305 (1.8) 16Gb SSD512Gb UHDG CR Windows 11 Pro WiFi BT 65W клавиатура мышь Cam черный 1920x1080</t>
        </is>
      </c>
      <c r="E3168" s="2" t="inlineStr">
        <is>
          <t>+ </t>
        </is>
      </c>
      <c r="F3168" s="2" t="inlineStr">
        <is>
          <t>+ </t>
        </is>
      </c>
      <c r="H3168" s="2">
        <v>899</v>
      </c>
      <c r="I3168" s="2" t="inlineStr">
        <is>
          <t>$</t>
        </is>
      </c>
      <c r="J3168" s="2">
        <f>HYPERLINK("https://app.astro.lead-studio.pro/product/2465c773-a74b-4e90-87cd-5c66e2013fde")</f>
      </c>
    </row>
    <row r="3169" spans="1:10" customHeight="0">
      <c r="A3169" s="2" t="inlineStr">
        <is>
          <t>Компьютеры</t>
        </is>
      </c>
      <c r="B3169" s="2" t="inlineStr">
        <is>
          <t>ACER</t>
        </is>
      </c>
      <c r="C3169" s="2" t="inlineStr">
        <is>
          <t>DQ.BLCCD.006</t>
        </is>
      </c>
      <c r="D3169" s="2" t="inlineStr">
        <is>
          <t>Моноблок Acer Aspire C24-1610 23.8" Full HD i3 N305 (1.8) 8Gb SSD512Gb UHDG CR Eshell WiFi BT 65W клавиатура мышь Cam черный 1920x1080</t>
        </is>
      </c>
      <c r="E3169" s="2" t="inlineStr">
        <is>
          <t>+++ </t>
        </is>
      </c>
      <c r="F3169" s="2" t="inlineStr">
        <is>
          <t>+++ </t>
        </is>
      </c>
      <c r="H3169" s="2">
        <v>642</v>
      </c>
      <c r="I3169" s="2" t="inlineStr">
        <is>
          <t>$</t>
        </is>
      </c>
      <c r="J3169" s="2">
        <f>HYPERLINK("https://app.astro.lead-studio.pro/product/773afb4f-6d25-430c-b1f9-a1f645da8af3")</f>
      </c>
    </row>
    <row r="3170" spans="1:10" customHeight="0">
      <c r="A3170" s="2" t="inlineStr">
        <is>
          <t>Компьютеры</t>
        </is>
      </c>
      <c r="B3170" s="2" t="inlineStr">
        <is>
          <t>ACER</t>
        </is>
      </c>
      <c r="C3170" s="2" t="inlineStr">
        <is>
          <t>DQ.BLFCD.00E</t>
        </is>
      </c>
      <c r="D3170" s="2" t="inlineStr">
        <is>
          <t>Моноблок Acer Aspire C24-1800 23.8" Full HD i3 1305U (1.6) 16Gb SSD512Gb UHDG CR Eshell GbitEth WiFi BT 65W клавиатура мышь Cam черный 1920x1080</t>
        </is>
      </c>
      <c r="E3170" s="2" t="inlineStr">
        <is>
          <t>++ </t>
        </is>
      </c>
      <c r="F3170" s="2" t="inlineStr">
        <is>
          <t>++ </t>
        </is>
      </c>
      <c r="H3170" s="2">
        <v>731</v>
      </c>
      <c r="I3170" s="2" t="inlineStr">
        <is>
          <t>$</t>
        </is>
      </c>
      <c r="J3170" s="2">
        <f>HYPERLINK("https://app.astro.lead-studio.pro/product/8cf193ee-69c3-4739-aafa-24d3b0f9be70")</f>
      </c>
    </row>
    <row r="3171" spans="1:10" customHeight="0">
      <c r="A3171" s="2" t="inlineStr">
        <is>
          <t>Компьютеры</t>
        </is>
      </c>
      <c r="B3171" s="2" t="inlineStr">
        <is>
          <t>ACER</t>
        </is>
      </c>
      <c r="C3171" s="2" t="inlineStr">
        <is>
          <t>DQ.BLFCD.00C</t>
        </is>
      </c>
      <c r="D3171" s="2" t="inlineStr">
        <is>
          <t>Моноблок Acer Aspire C24-1800 23.8" Full HD i3 1305U (1.6) 8Gb SSD512Gb UHDG CR Eshell GbitEth WiFi BT 65W клавиатура мышь Cam черный 1920x1080</t>
        </is>
      </c>
      <c r="E3171" s="2" t="inlineStr">
        <is>
          <t>++ </t>
        </is>
      </c>
      <c r="F3171" s="2" t="inlineStr">
        <is>
          <t>++ </t>
        </is>
      </c>
      <c r="H3171" s="2">
        <v>655</v>
      </c>
      <c r="I3171" s="2" t="inlineStr">
        <is>
          <t>$</t>
        </is>
      </c>
      <c r="J3171" s="2">
        <f>HYPERLINK("https://app.astro.lead-studio.pro/product/07b802eb-3522-4076-818c-e4429d1f6d82")</f>
      </c>
    </row>
    <row r="3172" spans="1:10" customHeight="0">
      <c r="A3172" s="2" t="inlineStr">
        <is>
          <t>Компьютеры</t>
        </is>
      </c>
      <c r="B3172" s="2" t="inlineStr">
        <is>
          <t>ACER</t>
        </is>
      </c>
      <c r="C3172" s="2" t="inlineStr">
        <is>
          <t>DQ.BKLCD.006</t>
        </is>
      </c>
      <c r="D3172" s="2" t="inlineStr">
        <is>
          <t>Моноблок Acer Aspire C24-1800 23.8" Full HD i3 1315U (1.2) 16Gb SSD512Gb UHDG CR Eshell GbitEth WiFi BT 65W клавиатура мышь Cam черный 1920x1080</t>
        </is>
      </c>
      <c r="E3172" s="2" t="inlineStr">
        <is>
          <t>+++ </t>
        </is>
      </c>
      <c r="F3172" s="2" t="inlineStr">
        <is>
          <t>+++ </t>
        </is>
      </c>
      <c r="H3172" s="2">
        <v>737</v>
      </c>
      <c r="I3172" s="2" t="inlineStr">
        <is>
          <t>$</t>
        </is>
      </c>
      <c r="J3172" s="2">
        <f>HYPERLINK("https://app.astro.lead-studio.pro/product/a740a2b6-2111-47e1-bcc8-35fba62af8a5")</f>
      </c>
    </row>
    <row r="3173" spans="1:10" customHeight="0">
      <c r="A3173" s="2" t="inlineStr">
        <is>
          <t>Компьютеры</t>
        </is>
      </c>
      <c r="B3173" s="2" t="inlineStr">
        <is>
          <t>ACER</t>
        </is>
      </c>
      <c r="C3173" s="2" t="inlineStr">
        <is>
          <t>DQ.BN5CD.00A</t>
        </is>
      </c>
      <c r="D3173" s="2" t="inlineStr">
        <is>
          <t>Моноблок Acer Aspire C24-1800 23.8" Full HD i5 1334U (1.3) 16Gb SSD512Gb UHDG CR Eshell GbitEth WiFi BT 65W клавиатура мышь Cam черный 1920x1080</t>
        </is>
      </c>
      <c r="E3173" s="2" t="inlineStr">
        <is>
          <t>+++ </t>
        </is>
      </c>
      <c r="F3173" s="2" t="inlineStr">
        <is>
          <t>+++ </t>
        </is>
      </c>
      <c r="H3173" s="2">
        <v>790</v>
      </c>
      <c r="I3173" s="2" t="inlineStr">
        <is>
          <t>$</t>
        </is>
      </c>
      <c r="J3173" s="2">
        <f>HYPERLINK("https://app.astro.lead-studio.pro/product/aa1c623d-8381-4e08-a629-c25f3c6a32f2")</f>
      </c>
    </row>
    <row r="3174" spans="1:10" customHeight="0">
      <c r="A3174" s="2" t="inlineStr">
        <is>
          <t>Компьютеры</t>
        </is>
      </c>
      <c r="B3174" s="2" t="inlineStr">
        <is>
          <t>ACER</t>
        </is>
      </c>
      <c r="C3174" s="2" t="inlineStr">
        <is>
          <t>DQ.BM4CD.002</t>
        </is>
      </c>
      <c r="D3174" s="2" t="inlineStr">
        <is>
          <t>Моноблок Acer Aspire C24-195ES 23.8" Full HD Core Ultra 5 125U (1.3) 16Gb SSD512Gb Graphics CR Eshell GbitEth WiFi BT 65W клавиатура мышь Cam серебристый 1920x1080</t>
        </is>
      </c>
      <c r="E3174" s="2" t="inlineStr">
        <is>
          <t>+++ </t>
        </is>
      </c>
      <c r="F3174" s="2" t="inlineStr">
        <is>
          <t>+++ </t>
        </is>
      </c>
      <c r="H3174" s="2">
        <v>962</v>
      </c>
      <c r="I3174" s="2" t="inlineStr">
        <is>
          <t>$</t>
        </is>
      </c>
      <c r="J3174" s="2">
        <f>HYPERLINK("https://app.astro.lead-studio.pro/product/f2b1a4ec-dcd7-481d-bf54-4352e66ed16d")</f>
      </c>
    </row>
    <row r="3175" spans="1:10" customHeight="0">
      <c r="A3175" s="2" t="inlineStr">
        <is>
          <t>Компьютеры</t>
        </is>
      </c>
      <c r="B3175" s="2" t="inlineStr">
        <is>
          <t>ACER</t>
        </is>
      </c>
      <c r="C3175" s="2" t="inlineStr">
        <is>
          <t>DQ.BM4CD.005</t>
        </is>
      </c>
      <c r="D3175" s="2" t="inlineStr">
        <is>
          <t>Моноблок Acer Aspire C24-195ES 23.8" Full HD Core Ultra 5 125U (1.3) 16Gb SSD512Gb Graphics CR Windows 11 Home GbitEth WiFi BT 65W клавиатура мышь Cam серебристый 1920x1080</t>
        </is>
      </c>
      <c r="E3175" s="2" t="inlineStr">
        <is>
          <t>+ </t>
        </is>
      </c>
      <c r="F3175" s="2" t="inlineStr">
        <is>
          <t>+ </t>
        </is>
      </c>
      <c r="H3175" s="2">
        <v>1023</v>
      </c>
      <c r="I3175" s="2" t="inlineStr">
        <is>
          <t>$</t>
        </is>
      </c>
      <c r="J3175" s="2">
        <f>HYPERLINK("https://app.astro.lead-studio.pro/product/a62c2c64-d31b-419e-9f49-abf602906a8e")</f>
      </c>
    </row>
    <row r="3176" spans="1:10" customHeight="0">
      <c r="A3176" s="2" t="inlineStr">
        <is>
          <t>Компьютеры</t>
        </is>
      </c>
      <c r="B3176" s="2" t="inlineStr">
        <is>
          <t>ACER</t>
        </is>
      </c>
      <c r="C3176" s="2" t="inlineStr">
        <is>
          <t>DQ.BM4CD.006</t>
        </is>
      </c>
      <c r="D3176" s="2" t="inlineStr">
        <is>
          <t>Моноблок Acer Aspire C24-195ES 23.8" Full HD Core Ultra 5 125U (1.3) 16Gb SSD512Gb Graphics CR Windows 11 Professional GbitEth WiFi BT 65W клавиатура мышь Cam серебристый 1920x1080</t>
        </is>
      </c>
      <c r="E3176" s="2" t="inlineStr">
        <is>
          <t>+ </t>
        </is>
      </c>
      <c r="F3176" s="2" t="inlineStr">
        <is>
          <t>+ </t>
        </is>
      </c>
      <c r="H3176" s="2">
        <v>1122</v>
      </c>
      <c r="I3176" s="2" t="inlineStr">
        <is>
          <t>$</t>
        </is>
      </c>
      <c r="J3176" s="2">
        <f>HYPERLINK("https://app.astro.lead-studio.pro/product/20466069-f1a8-4c4f-9453-43e7fd9ddd6a")</f>
      </c>
    </row>
    <row r="3177" spans="1:10" customHeight="0">
      <c r="A3177" s="2" t="inlineStr">
        <is>
          <t>Компьютеры</t>
        </is>
      </c>
      <c r="B3177" s="2" t="inlineStr">
        <is>
          <t>ACER</t>
        </is>
      </c>
      <c r="C3177" s="2" t="inlineStr">
        <is>
          <t>DQ.BM4CD.001</t>
        </is>
      </c>
      <c r="D3177" s="2" t="inlineStr">
        <is>
          <t>Моноблок Acer Aspire C24-195ES 23.8" Full HD Core Ultra 5 125U (1.3) 8Gb SSD512Gb Graphics CR Eshell GbitEth WiFi BT 65W клавиатура мышь Cam серебристый 1920x1080</t>
        </is>
      </c>
      <c r="E3177" s="2" t="inlineStr">
        <is>
          <t>+ </t>
        </is>
      </c>
      <c r="F3177" s="2" t="inlineStr">
        <is>
          <t>+ </t>
        </is>
      </c>
      <c r="H3177" s="2">
        <v>836</v>
      </c>
      <c r="I3177" s="2" t="inlineStr">
        <is>
          <t>$</t>
        </is>
      </c>
      <c r="J3177" s="2">
        <f>HYPERLINK("https://app.astro.lead-studio.pro/product/68207099-74e6-49a3-80c3-b2b4587469b7")</f>
      </c>
    </row>
    <row r="3178" spans="1:10" customHeight="0">
      <c r="A3178" s="2" t="inlineStr">
        <is>
          <t>Компьютеры</t>
        </is>
      </c>
      <c r="B3178" s="2" t="inlineStr">
        <is>
          <t>ACER</t>
        </is>
      </c>
      <c r="C3178" s="2" t="inlineStr">
        <is>
          <t>DQ.BM5CD.001</t>
        </is>
      </c>
      <c r="D3178" s="2" t="inlineStr">
        <is>
          <t>Моноблок Acer Aspire C24-195ES 23.8" Full HD Core Ultra 7 155U (1.7) 16Gb SSD512Gb Graphics CR Eshell GbitEth WiFi BT 65W клавиатура мышь Cam серебристый 1920x1080</t>
        </is>
      </c>
      <c r="E3178" s="2" t="inlineStr">
        <is>
          <t>+++ </t>
        </is>
      </c>
      <c r="F3178" s="2" t="inlineStr">
        <is>
          <t>+++ </t>
        </is>
      </c>
      <c r="H3178" s="2">
        <v>1087</v>
      </c>
      <c r="I3178" s="2" t="inlineStr">
        <is>
          <t>$</t>
        </is>
      </c>
      <c r="J3178" s="2">
        <f>HYPERLINK("https://app.astro.lead-studio.pro/product/2bd83105-5042-41d9-a9fb-aa37b04e503f")</f>
      </c>
    </row>
    <row r="3179" spans="1:10" customHeight="0">
      <c r="A3179" s="2" t="inlineStr">
        <is>
          <t>Компьютеры</t>
        </is>
      </c>
      <c r="B3179" s="2" t="inlineStr">
        <is>
          <t>ACER</t>
        </is>
      </c>
      <c r="C3179" s="2" t="inlineStr">
        <is>
          <t>DQ.BKJCD.008</t>
        </is>
      </c>
      <c r="D3179" s="2" t="inlineStr">
        <is>
          <t>Моноблок Acer Aspire C27-1800 27" Full HD i3 1315U (1.2) 16Gb SSD512Gb UHDG CR Eshell GbitEth WiFi BT 65W клавиатура мышь Cam черный 1920x1080</t>
        </is>
      </c>
      <c r="E3179" s="2" t="inlineStr">
        <is>
          <t>+++ </t>
        </is>
      </c>
      <c r="F3179" s="2" t="inlineStr">
        <is>
          <t>+++ </t>
        </is>
      </c>
      <c r="H3179" s="2">
        <v>813</v>
      </c>
      <c r="I3179" s="2" t="inlineStr">
        <is>
          <t>$</t>
        </is>
      </c>
      <c r="J3179" s="2">
        <f>HYPERLINK("https://app.astro.lead-studio.pro/product/811cfca7-0ab6-4932-a480-01c128b593c4")</f>
      </c>
    </row>
    <row r="3180" spans="1:10" customHeight="0">
      <c r="A3180" s="2" t="inlineStr">
        <is>
          <t>Компьютеры</t>
        </is>
      </c>
      <c r="B3180" s="2" t="inlineStr">
        <is>
          <t>ACER</t>
        </is>
      </c>
      <c r="C3180" s="2" t="inlineStr">
        <is>
          <t>DQ.BKJCD.00A</t>
        </is>
      </c>
      <c r="D3180" s="2" t="inlineStr">
        <is>
          <t>Моноблок Acer Aspire C27-1800 27" Full HD i3 1315U (1.2) 8Gb SSD512Gb UHDG CR Eshell GbitEth WiFi BT 65W клавиатура мышь Cam черный 1920x1080</t>
        </is>
      </c>
      <c r="E3180" s="2" t="inlineStr">
        <is>
          <t>+ </t>
        </is>
      </c>
      <c r="F3180" s="2" t="inlineStr">
        <is>
          <t>+ </t>
        </is>
      </c>
      <c r="H3180" s="2">
        <v>690</v>
      </c>
      <c r="I3180" s="2" t="inlineStr">
        <is>
          <t>$</t>
        </is>
      </c>
      <c r="J3180" s="2">
        <f>HYPERLINK("https://app.astro.lead-studio.pro/product/9b08ee9c-0297-4f15-bb67-108827dedfea")</f>
      </c>
    </row>
    <row r="3181" spans="1:10" customHeight="0">
      <c r="A3181" s="2" t="inlineStr">
        <is>
          <t>Компьютеры</t>
        </is>
      </c>
      <c r="B3181" s="2" t="inlineStr">
        <is>
          <t>ACER</t>
        </is>
      </c>
      <c r="C3181" s="2" t="inlineStr">
        <is>
          <t>DQ.BKJCD.005</t>
        </is>
      </c>
      <c r="D3181" s="2" t="inlineStr">
        <is>
          <t>Моноблок Acer Aspire C27-1800 27" Full HD i3 1315U (1.2) 8Gb SSD512Gb UHDG CR Windows 11 Home GbitEth WiFi BT 65W клавиатура мышь Cam черный 1920x1080</t>
        </is>
      </c>
      <c r="E3181" s="2" t="inlineStr">
        <is>
          <t>+ </t>
        </is>
      </c>
      <c r="F3181" s="2" t="inlineStr">
        <is>
          <t>+ </t>
        </is>
      </c>
      <c r="H3181" s="2">
        <v>779</v>
      </c>
      <c r="I3181" s="2" t="inlineStr">
        <is>
          <t>$</t>
        </is>
      </c>
      <c r="J3181" s="2">
        <f>HYPERLINK("https://app.astro.lead-studio.pro/product/2ac31b0e-8286-4320-a13b-c0515b0d9963")</f>
      </c>
    </row>
    <row r="3182" spans="1:10" customHeight="0">
      <c r="A3182" s="2" t="inlineStr">
        <is>
          <t>Компьютеры</t>
        </is>
      </c>
      <c r="B3182" s="2" t="inlineStr">
        <is>
          <t>ACER</t>
        </is>
      </c>
      <c r="C3182" s="2" t="inlineStr">
        <is>
          <t>DQ.BN4CD.009</t>
        </is>
      </c>
      <c r="D3182" s="2" t="inlineStr">
        <is>
          <t>Моноблок Acer Aspire C27-1800 27" Full HD i5 1334U (1.3) 16Gb SSD1Tb UHDG CR Eshell GbitEth WiFi BT 65W клавиатура мышь Cam черный 1920x1080</t>
        </is>
      </c>
      <c r="E3182" s="2" t="inlineStr">
        <is>
          <t>++ </t>
        </is>
      </c>
      <c r="F3182" s="2" t="inlineStr">
        <is>
          <t>++ </t>
        </is>
      </c>
      <c r="H3182" s="2">
        <v>934</v>
      </c>
      <c r="I3182" s="2" t="inlineStr">
        <is>
          <t>$</t>
        </is>
      </c>
      <c r="J3182" s="2">
        <f>HYPERLINK("https://app.astro.lead-studio.pro/product/e9e242f5-17e7-41e3-893c-9cbb58abfff3")</f>
      </c>
    </row>
    <row r="3183" spans="1:10" customHeight="0">
      <c r="A3183" s="2" t="inlineStr">
        <is>
          <t>Компьютеры</t>
        </is>
      </c>
      <c r="B3183" s="2" t="inlineStr">
        <is>
          <t>ACER</t>
        </is>
      </c>
      <c r="C3183" s="2" t="inlineStr">
        <is>
          <t>DQ.BN4CD.004</t>
        </is>
      </c>
      <c r="D3183" s="2" t="inlineStr">
        <is>
          <t>Моноблок Acer Aspire C27-1800 27" Full HD i5 1334U (1.3) 16Gb SSD512Gb UHDG CR Eshell GbitEth WiFi BT 65W клавиатура мышь Cam черный 1920x1080</t>
        </is>
      </c>
      <c r="E3183" s="2" t="inlineStr">
        <is>
          <t>++ </t>
        </is>
      </c>
      <c r="F3183" s="2" t="inlineStr">
        <is>
          <t>++ </t>
        </is>
      </c>
      <c r="H3183" s="2">
        <v>899</v>
      </c>
      <c r="I3183" s="2" t="inlineStr">
        <is>
          <t>$</t>
        </is>
      </c>
      <c r="J3183" s="2">
        <f>HYPERLINK("https://app.astro.lead-studio.pro/product/6b1d2f8a-4f2a-4a47-9672-a25003b329da")</f>
      </c>
    </row>
    <row r="3184" spans="1:10" customHeight="0">
      <c r="A3184" s="2" t="inlineStr">
        <is>
          <t>Компьютеры</t>
        </is>
      </c>
      <c r="B3184" s="2" t="inlineStr">
        <is>
          <t>ACER</t>
        </is>
      </c>
      <c r="C3184" s="2" t="inlineStr">
        <is>
          <t>DQ.BMFCD.002</t>
        </is>
      </c>
      <c r="D3184" s="2" t="inlineStr">
        <is>
          <t>Моноблок Acer Aspire C27-195ES 27" Full HD Core Ultra 5 125U (1.3) 16Gb SSD512Gb Graphics CR Eshell GbitEth WiFi BT 65W клавиатура мышь Cam серебристый 1920x1080</t>
        </is>
      </c>
      <c r="E3184" s="2" t="inlineStr">
        <is>
          <t>+++ </t>
        </is>
      </c>
      <c r="F3184" s="2" t="inlineStr">
        <is>
          <t>+++ </t>
        </is>
      </c>
      <c r="H3184" s="2">
        <v>1005</v>
      </c>
      <c r="I3184" s="2" t="inlineStr">
        <is>
          <t>$</t>
        </is>
      </c>
      <c r="J3184" s="2">
        <f>HYPERLINK("https://app.astro.lead-studio.pro/product/61576a65-0bc2-40af-a104-7e9f2d57b8c4")</f>
      </c>
    </row>
    <row r="3185" spans="1:10" customHeight="0">
      <c r="A3185" s="2" t="inlineStr">
        <is>
          <t>Компьютеры</t>
        </is>
      </c>
      <c r="B3185" s="2" t="inlineStr">
        <is>
          <t>ACER</t>
        </is>
      </c>
      <c r="C3185" s="2" t="inlineStr">
        <is>
          <t>DQ.BMFCD.005</t>
        </is>
      </c>
      <c r="D3185" s="2" t="inlineStr">
        <is>
          <t>Моноблок Acer Aspire C27-195ES 27" Full HD Core Ultra 5 125U (1.3) 16Gb SSD512Gb Graphics CR Windows 11 Professional GbitEth WiFi BT 65W клавиатура мышь Cam серебристый 1920x1080</t>
        </is>
      </c>
      <c r="E3185" s="2" t="inlineStr">
        <is>
          <t>+ </t>
        </is>
      </c>
      <c r="F3185" s="2" t="inlineStr">
        <is>
          <t>+ </t>
        </is>
      </c>
      <c r="H3185" s="2">
        <v>1155</v>
      </c>
      <c r="I3185" s="2" t="inlineStr">
        <is>
          <t>$</t>
        </is>
      </c>
      <c r="J3185" s="2">
        <f>HYPERLINK("https://app.astro.lead-studio.pro/product/60c38d9d-8fba-4c39-9417-a4ab677828f7")</f>
      </c>
    </row>
    <row r="3186" spans="1:10" customHeight="0">
      <c r="A3186" s="2" t="inlineStr">
        <is>
          <t>Компьютеры</t>
        </is>
      </c>
      <c r="B3186" s="2" t="inlineStr">
        <is>
          <t>ACER</t>
        </is>
      </c>
      <c r="C3186" s="2" t="inlineStr">
        <is>
          <t>DQ.BMFCD.001</t>
        </is>
      </c>
      <c r="D3186" s="2" t="inlineStr">
        <is>
          <t>Моноблок Acer Aspire C27-195ES 27" Full HD Core Ultra 5 125U (1.3) 8Gb SSD512Gb Graphics CR Eshell GbitEth WiFi BT 65W клавиатура мышь Cam серебристый 1920x1080</t>
        </is>
      </c>
      <c r="E3186" s="2" t="inlineStr">
        <is>
          <t>+ </t>
        </is>
      </c>
      <c r="F3186" s="2" t="inlineStr">
        <is>
          <t>+ </t>
        </is>
      </c>
      <c r="H3186" s="2">
        <v>899</v>
      </c>
      <c r="I3186" s="2" t="inlineStr">
        <is>
          <t>$</t>
        </is>
      </c>
      <c r="J3186" s="2">
        <f>HYPERLINK("https://app.astro.lead-studio.pro/product/ea484c41-0f3f-4c1a-8789-140db7fcaa85")</f>
      </c>
    </row>
    <row r="3187" spans="1:10" customHeight="0">
      <c r="A3187" s="2" t="inlineStr">
        <is>
          <t>Компьютеры</t>
        </is>
      </c>
      <c r="B3187" s="2" t="inlineStr">
        <is>
          <t>ACER</t>
        </is>
      </c>
      <c r="C3187" s="2" t="inlineStr">
        <is>
          <t>DQ.BMGCD.001</t>
        </is>
      </c>
      <c r="D3187" s="2" t="inlineStr">
        <is>
          <t>Моноблок Acer Aspire C27-195ES 27" Full HD Core Ultra 7 155U (1.7) 16Gb SSD512Gb Graphics CR Eshell GbitEth WiFi BT 65W клавиатура мышь Cam серебристый 1920x1080</t>
        </is>
      </c>
      <c r="E3187" s="2" t="inlineStr">
        <is>
          <t>+++ </t>
        </is>
      </c>
      <c r="F3187" s="2" t="inlineStr">
        <is>
          <t>+++ </t>
        </is>
      </c>
      <c r="H3187" s="2">
        <v>1116</v>
      </c>
      <c r="I3187" s="2" t="inlineStr">
        <is>
          <t>$</t>
        </is>
      </c>
      <c r="J3187" s="2">
        <f>HYPERLINK("https://app.astro.lead-studio.pro/product/c1540378-df00-4a8c-b5e5-8b93f245c95c")</f>
      </c>
    </row>
    <row r="3188" spans="1:10" customHeight="0">
      <c r="A3188" s="2" t="inlineStr">
        <is>
          <t>Компьютеры</t>
        </is>
      </c>
      <c r="B3188" s="2" t="inlineStr">
        <is>
          <t>ACER</t>
        </is>
      </c>
      <c r="C3188" s="2" t="inlineStr">
        <is>
          <t>DQ.BKDCD.004</t>
        </is>
      </c>
      <c r="D3188" s="2" t="inlineStr">
        <is>
          <t>Моноблок Acer Aspire S27-1755 27" WQHD i5 1240P (1.7) 16Gb SSD512Gb Iris Xe CR Windows 11 Home GbitEth WiFi BT 135W клавиатура мышь Cam серый 2560x1440</t>
        </is>
      </c>
      <c r="E3188" s="2" t="inlineStr">
        <is>
          <t>+ </t>
        </is>
      </c>
      <c r="F3188" s="2" t="inlineStr">
        <is>
          <t>+ </t>
        </is>
      </c>
      <c r="H3188" s="2">
        <v>1276</v>
      </c>
      <c r="I3188" s="2" t="inlineStr">
        <is>
          <t>$</t>
        </is>
      </c>
      <c r="J3188" s="2">
        <f>HYPERLINK("https://app.astro.lead-studio.pro/product/05154da6-9921-43df-84a1-0f1d9217316e")</f>
      </c>
    </row>
    <row r="3189" spans="1:10" customHeight="0">
      <c r="A3189" s="2" t="inlineStr">
        <is>
          <t>Компьютеры</t>
        </is>
      </c>
      <c r="B3189" s="2" t="inlineStr">
        <is>
          <t>ACER</t>
        </is>
      </c>
      <c r="C3189" s="2" t="inlineStr">
        <is>
          <t>DQ.BKDCD.001</t>
        </is>
      </c>
      <c r="D3189" s="2" t="inlineStr">
        <is>
          <t>Моноблок Acer Aspire S27-1755 27" WQHD i5 1240P (1.7) 8Gb SSD512Gb Iris Xe CR Eshell GbitEth WiFi BT 135W клавиатура мышь Cam серый 2560x1440</t>
        </is>
      </c>
      <c r="E3189" s="2" t="inlineStr">
        <is>
          <t>+ </t>
        </is>
      </c>
      <c r="F3189" s="2" t="inlineStr">
        <is>
          <t>+ </t>
        </is>
      </c>
      <c r="H3189" s="2">
        <v>1107</v>
      </c>
      <c r="I3189" s="2" t="inlineStr">
        <is>
          <t>$</t>
        </is>
      </c>
      <c r="J3189" s="2">
        <f>HYPERLINK("https://app.astro.lead-studio.pro/product/50bbbbc0-88b1-4ce2-9c17-fc5021b2cd73")</f>
      </c>
    </row>
    <row r="3190" spans="1:10" customHeight="0">
      <c r="A3190" s="2" t="inlineStr">
        <is>
          <t>Компьютеры</t>
        </is>
      </c>
      <c r="B3190" s="2" t="inlineStr">
        <is>
          <t>ACER</t>
        </is>
      </c>
      <c r="C3190" s="2" t="inlineStr">
        <is>
          <t>DQ.BKECD.003</t>
        </is>
      </c>
      <c r="D3190" s="2" t="inlineStr">
        <is>
          <t>Моноблок Acer Aspire S27-1755 27" WQHD i7 1260P (2.1) 16Gb SSD1Tb Iris Xe CR Eshell GbitEth WiFi BT 135W клавиатура мышь Cam серый 2560x1440</t>
        </is>
      </c>
      <c r="E3190" s="2" t="inlineStr">
        <is>
          <t>+ </t>
        </is>
      </c>
      <c r="F3190" s="2" t="inlineStr">
        <is>
          <t>+ </t>
        </is>
      </c>
      <c r="H3190" s="2">
        <v>1451</v>
      </c>
      <c r="I3190" s="2" t="inlineStr">
        <is>
          <t>$</t>
        </is>
      </c>
      <c r="J3190" s="2">
        <f>HYPERLINK("https://app.astro.lead-studio.pro/product/6cf1e514-216a-451d-8b4b-4073ab34ae55")</f>
      </c>
    </row>
    <row r="3191" spans="1:10" customHeight="0">
      <c r="A3191" s="2" t="inlineStr">
        <is>
          <t>Компьютеры</t>
        </is>
      </c>
      <c r="B3191" s="2" t="inlineStr">
        <is>
          <t>ACER</t>
        </is>
      </c>
      <c r="C3191" s="2" t="inlineStr">
        <is>
          <t>DQ.BKECD.004</t>
        </is>
      </c>
      <c r="D3191" s="2" t="inlineStr">
        <is>
          <t>Моноблок Acer Aspire S27-1755 27" WQHD i7 1260P (2.1) 16Gb SSD1Tb Iris Xe CR Windows 11 Home GbitEth WiFi BT 135W клавиатура мышь Cam серый 2560x1440</t>
        </is>
      </c>
      <c r="E3191" s="2" t="inlineStr">
        <is>
          <t>+ </t>
        </is>
      </c>
      <c r="F3191" s="2" t="inlineStr">
        <is>
          <t>+ </t>
        </is>
      </c>
      <c r="H3191" s="2">
        <v>1546</v>
      </c>
      <c r="I3191" s="2" t="inlineStr">
        <is>
          <t>$</t>
        </is>
      </c>
      <c r="J3191" s="2">
        <f>HYPERLINK("https://app.astro.lead-studio.pro/product/712747fb-0b7c-4307-9a6b-ac9aca9f13d8")</f>
      </c>
    </row>
    <row r="3192" spans="1:10" customHeight="0">
      <c r="A3192" s="2" t="inlineStr">
        <is>
          <t>Компьютеры</t>
        </is>
      </c>
      <c r="B3192" s="2" t="inlineStr">
        <is>
          <t>ACER</t>
        </is>
      </c>
      <c r="C3192" s="2" t="inlineStr">
        <is>
          <t>DQ.BKECD.001</t>
        </is>
      </c>
      <c r="D3192" s="2" t="inlineStr">
        <is>
          <t>Моноблок Acer Aspire S27-1755 27" WQHD i7 1260P (2.1) 16Gb SSD512Gb Iris Xe CR Eshell GbitEth WiFi BT 135W клавиатура мышь Cam серый 2560x1440</t>
        </is>
      </c>
      <c r="E3192" s="2" t="inlineStr">
        <is>
          <t>++ </t>
        </is>
      </c>
      <c r="F3192" s="2" t="inlineStr">
        <is>
          <t>++ </t>
        </is>
      </c>
      <c r="H3192" s="2">
        <v>1351</v>
      </c>
      <c r="I3192" s="2" t="inlineStr">
        <is>
          <t>$</t>
        </is>
      </c>
      <c r="J3192" s="2">
        <f>HYPERLINK("https://app.astro.lead-studio.pro/product/5af6954f-4ff0-4e5b-a7ce-9e90b1015193")</f>
      </c>
    </row>
    <row r="3193" spans="1:10" customHeight="0">
      <c r="A3193" s="2" t="inlineStr">
        <is>
          <t>Компьютеры</t>
        </is>
      </c>
      <c r="B3193" s="2" t="inlineStr">
        <is>
          <t>ACER</t>
        </is>
      </c>
      <c r="C3193" s="2" t="inlineStr">
        <is>
          <t>DQ.BKECD.002</t>
        </is>
      </c>
      <c r="D3193" s="2" t="inlineStr">
        <is>
          <t>Моноблок Acer Aspire S27-1755 27" WQHD i7 1260P (2.1) 16Gb SSD512Gb Iris Xe CR Windows 11 Home GbitEth WiFi BT 135W клавиатура мышь Cam серый 2560x1440</t>
        </is>
      </c>
      <c r="E3193" s="2" t="inlineStr">
        <is>
          <t>+ </t>
        </is>
      </c>
      <c r="F3193" s="2" t="inlineStr">
        <is>
          <t>+ </t>
        </is>
      </c>
      <c r="H3193" s="2">
        <v>1474</v>
      </c>
      <c r="I3193" s="2" t="inlineStr">
        <is>
          <t>$</t>
        </is>
      </c>
      <c r="J3193" s="2">
        <f>HYPERLINK("https://app.astro.lead-studio.pro/product/18d798d9-b2fb-4696-afee-cdbfd037167d")</f>
      </c>
    </row>
    <row r="3194" spans="1:10" customHeight="0">
      <c r="A3194" s="2" t="inlineStr">
        <is>
          <t>Компьютеры</t>
        </is>
      </c>
      <c r="B3194" s="2" t="inlineStr">
        <is>
          <t>ACER</t>
        </is>
      </c>
      <c r="C3194" s="2" t="inlineStr">
        <is>
          <t>DQ.BL6CD.003</t>
        </is>
      </c>
      <c r="D3194" s="2" t="inlineStr">
        <is>
          <t>Моноблок Acer Aspire S32-1856 31.5" WQHD i7 1360P (2.2) 16Gb SSD1Tb Iris Xe CR Eshell GbitEth WiFi BT 180W клавиатура мышь Cam серый 2560x1440</t>
        </is>
      </c>
      <c r="E3194" s="2" t="inlineStr">
        <is>
          <t>+++ </t>
        </is>
      </c>
      <c r="F3194" s="2" t="inlineStr">
        <is>
          <t>+++ </t>
        </is>
      </c>
      <c r="H3194" s="2">
        <v>1729</v>
      </c>
      <c r="I3194" s="2" t="inlineStr">
        <is>
          <t>$</t>
        </is>
      </c>
      <c r="J3194" s="2">
        <f>HYPERLINK("https://app.astro.lead-studio.pro/product/476fc4d9-7ecd-4531-b143-0eb7824d20af")</f>
      </c>
    </row>
    <row r="3195" spans="1:10" customHeight="0">
      <c r="A3195" s="2" t="inlineStr">
        <is>
          <t>Компьютеры</t>
        </is>
      </c>
      <c r="B3195" s="2" t="inlineStr">
        <is>
          <t>ACER</t>
        </is>
      </c>
      <c r="C3195" s="2" t="inlineStr">
        <is>
          <t>DQ.BL6CD.006</t>
        </is>
      </c>
      <c r="D3195" s="2" t="inlineStr">
        <is>
          <t>Моноблок Acer Aspire S32-1856 31.5" WQHD i7 1360P (2.2) 16Gb SSD1Tb Iris Xe CR Windows 11 Pro GbitEth WiFi BT 180W клавиатура мышь Cam серый 2560x1440</t>
        </is>
      </c>
      <c r="E3195" s="2" t="inlineStr">
        <is>
          <t>+ </t>
        </is>
      </c>
      <c r="F3195" s="2" t="inlineStr">
        <is>
          <t>+ </t>
        </is>
      </c>
      <c r="H3195" s="2">
        <v>1868</v>
      </c>
      <c r="I3195" s="2" t="inlineStr">
        <is>
          <t>$</t>
        </is>
      </c>
      <c r="J3195" s="2">
        <f>HYPERLINK("https://app.astro.lead-studio.pro/product/a7d8d125-7e3d-410f-890d-906af8abbbdb")</f>
      </c>
    </row>
    <row r="3196" spans="1:10" customHeight="0">
      <c r="A3196" s="2" t="inlineStr">
        <is>
          <t>Компьютеры</t>
        </is>
      </c>
      <c r="B3196" s="2" t="inlineStr">
        <is>
          <t>ACER</t>
        </is>
      </c>
      <c r="C3196" s="2" t="inlineStr">
        <is>
          <t>DQ.BL6CD.001</t>
        </is>
      </c>
      <c r="D3196" s="2" t="inlineStr">
        <is>
          <t>Моноблок Acer Aspire S32-1856 31.5" WQHD i7 1360P (2.2) 16Gb SSD512Gb Iris Xe CR Eshell GbitEth WiFi BT 180W клавиатура мышь Cam серый 2560x1440</t>
        </is>
      </c>
      <c r="E3196" s="2" t="inlineStr">
        <is>
          <t>+++ </t>
        </is>
      </c>
      <c r="F3196" s="2" t="inlineStr">
        <is>
          <t>+++ </t>
        </is>
      </c>
      <c r="H3196" s="2">
        <v>1579</v>
      </c>
      <c r="I3196" s="2" t="inlineStr">
        <is>
          <t>$</t>
        </is>
      </c>
      <c r="J3196" s="2">
        <f>HYPERLINK("https://app.astro.lead-studio.pro/product/db792de1-267c-488b-abb9-c89fe7b99240")</f>
      </c>
    </row>
    <row r="3197" spans="1:10" customHeight="0">
      <c r="A3197" s="2" t="inlineStr">
        <is>
          <t>Компьютеры</t>
        </is>
      </c>
      <c r="B3197" s="2" t="inlineStr">
        <is>
          <t>APPLE</t>
        </is>
      </c>
      <c r="C3197" s="2" t="inlineStr">
        <is>
          <t>MGPC3C/A</t>
        </is>
      </c>
      <c r="D3197" s="2" t="inlineStr">
        <is>
          <t>Моноблок Apple iMac A2438 24" 4.5K M1 8 core (3.2) 8Gb SSD256Gb 8 core GPU macOS WiFi BT 143W клавиатура мышь Cam серебристый 4480x2520</t>
        </is>
      </c>
      <c r="E3197" s="2" t="inlineStr">
        <is>
          <t>++ </t>
        </is>
      </c>
      <c r="F3197" s="2" t="inlineStr">
        <is>
          <t>++ </t>
        </is>
      </c>
      <c r="H3197" s="2">
        <v>1632</v>
      </c>
      <c r="I3197" s="2" t="inlineStr">
        <is>
          <t>$</t>
        </is>
      </c>
      <c r="J3197" s="2">
        <f>HYPERLINK("https://app.astro.lead-studio.pro/product/7b4d48f7-4023-4417-9652-a6b94a41b134")</f>
      </c>
    </row>
    <row r="3198" spans="1:10" customHeight="0">
      <c r="A3198" s="2" t="inlineStr">
        <is>
          <t>Компьютеры</t>
        </is>
      </c>
      <c r="B3198" s="2" t="inlineStr">
        <is>
          <t>APPLE</t>
        </is>
      </c>
      <c r="C3198" s="2" t="inlineStr">
        <is>
          <t>MGPK3C/A</t>
        </is>
      </c>
      <c r="D3198" s="2" t="inlineStr">
        <is>
          <t>Моноблок Apple iMac A2438 24" 4.5K M1 8 core (3.2) 8Gb SSD256Gb 8 core GPU macOS WiFi BT 143W клавиатура мышь Cam синий 4480x2520</t>
        </is>
      </c>
      <c r="E3198" s="2" t="inlineStr">
        <is>
          <t>+++ </t>
        </is>
      </c>
      <c r="F3198" s="2" t="inlineStr">
        <is>
          <t>+++ </t>
        </is>
      </c>
      <c r="H3198" s="2">
        <v>1623</v>
      </c>
      <c r="I3198" s="2" t="inlineStr">
        <is>
          <t>$</t>
        </is>
      </c>
      <c r="J3198" s="2">
        <f>HYPERLINK("https://app.astro.lead-studio.pro/product/3757f521-c465-4ca4-824e-2437bf9d7c71")</f>
      </c>
    </row>
    <row r="3199" spans="1:10" customHeight="0">
      <c r="A3199" s="2" t="inlineStr">
        <is>
          <t>Компьютеры</t>
        </is>
      </c>
      <c r="B3199" s="2" t="inlineStr">
        <is>
          <t>APPLE</t>
        </is>
      </c>
      <c r="C3199" s="2" t="inlineStr">
        <is>
          <t>MGPJ3C/A</t>
        </is>
      </c>
      <c r="D3199" s="2" t="inlineStr">
        <is>
          <t>Моноблок Apple iMac A2438 24" 4.5K M1 8 core (3.2) 8Gb SSD512Gb 8 core GPU macOS WiFi BT 143W клавиатура мышь Cam зеленый 4480x2520</t>
        </is>
      </c>
      <c r="E3199" s="2" t="inlineStr">
        <is>
          <t>+ </t>
        </is>
      </c>
      <c r="F3199" s="2" t="inlineStr">
        <is>
          <t>+ </t>
        </is>
      </c>
      <c r="H3199" s="2">
        <v>1747</v>
      </c>
      <c r="I3199" s="2" t="inlineStr">
        <is>
          <t>$</t>
        </is>
      </c>
      <c r="J3199" s="2">
        <f>HYPERLINK("https://app.astro.lead-studio.pro/product/68f765e7-4866-4813-aab1-ce1c39979b69")</f>
      </c>
    </row>
    <row r="3200" spans="1:10" customHeight="0">
      <c r="A3200" s="2" t="inlineStr">
        <is>
          <t>Компьютеры</t>
        </is>
      </c>
      <c r="B3200" s="2" t="inlineStr">
        <is>
          <t>APPLE</t>
        </is>
      </c>
      <c r="C3200" s="2" t="inlineStr">
        <is>
          <t>MGTF3C/A</t>
        </is>
      </c>
      <c r="D3200" s="2" t="inlineStr">
        <is>
          <t>Моноблок Apple iMac A2439 24" 4.5K M1 8 core (3.2) 8Gb SSD256Gb 7 core GPU macOS WiFi BT 143W клавиатура мышь Cam серебристый 4480x2520</t>
        </is>
      </c>
      <c r="E3200" s="2" t="inlineStr">
        <is>
          <t>+ </t>
        </is>
      </c>
      <c r="F3200" s="2" t="inlineStr">
        <is>
          <t>+ </t>
        </is>
      </c>
      <c r="H3200" s="2">
        <v>1615</v>
      </c>
      <c r="I3200" s="2" t="inlineStr">
        <is>
          <t>$</t>
        </is>
      </c>
      <c r="J3200" s="2">
        <f>HYPERLINK("https://app.astro.lead-studio.pro/product/fc23f07d-0b89-4067-86bc-7af64517446d")</f>
      </c>
    </row>
    <row r="3201" spans="1:10" customHeight="0">
      <c r="A3201" s="2" t="inlineStr">
        <is>
          <t>Компьютеры</t>
        </is>
      </c>
      <c r="B3201" s="2" t="inlineStr">
        <is>
          <t>ASUS</t>
        </is>
      </c>
      <c r="C3201" s="2" t="inlineStr">
        <is>
          <t>90PT03J1-M021M0</t>
        </is>
      </c>
      <c r="D3201" s="2" t="inlineStr">
        <is>
          <t>Моноблок Asus A5402WVA-WPC0040 23.8" Full HD i5 1340P (1.9) 16Gb SSD512Gb UHDG CR без ОС GbitEth WiFi BT 120W клавиатура мышь Cam белый 1920x1080</t>
        </is>
      </c>
      <c r="E3201" s="2" t="inlineStr">
        <is>
          <t>+ </t>
        </is>
      </c>
      <c r="F3201" s="2" t="inlineStr">
        <is>
          <t>+ </t>
        </is>
      </c>
      <c r="H3201" s="2">
        <v>975</v>
      </c>
      <c r="I3201" s="2" t="inlineStr">
        <is>
          <t>$</t>
        </is>
      </c>
      <c r="J3201" s="2">
        <f>HYPERLINK("https://app.astro.lead-studio.pro/product/bbfb8c39-c797-4bdd-855d-0ab19854566d")</f>
      </c>
    </row>
    <row r="3202" spans="1:10" customHeight="0">
      <c r="A3202" s="2" t="inlineStr">
        <is>
          <t>Компьютеры</t>
        </is>
      </c>
      <c r="B3202" s="2" t="inlineStr">
        <is>
          <t>ASUS</t>
        </is>
      </c>
      <c r="C3202" s="2" t="inlineStr">
        <is>
          <t>90PT03J1-M02H20</t>
        </is>
      </c>
      <c r="D3202" s="2" t="inlineStr">
        <is>
          <t>Моноблок Asus A5402WVA-WPC0080 23.8" Full HD i7 1360P (2.2) 16Gb SSD1Tb UHDG CR без ОС GbitEth WiFi BT 120W клавиатура мышь Cam белый 1920x1080</t>
        </is>
      </c>
      <c r="E3202" s="2" t="inlineStr">
        <is>
          <t>+ </t>
        </is>
      </c>
      <c r="F3202" s="2" t="inlineStr">
        <is>
          <t>+ </t>
        </is>
      </c>
      <c r="H3202" s="2">
        <v>1115</v>
      </c>
      <c r="I3202" s="2" t="inlineStr">
        <is>
          <t>$</t>
        </is>
      </c>
      <c r="J3202" s="2">
        <f>HYPERLINK("https://app.astro.lead-studio.pro/product/d5866192-7eb0-4260-bf8a-d74bd1a61aaf")</f>
      </c>
    </row>
    <row r="3203" spans="1:10" customHeight="0">
      <c r="A3203" s="2" t="inlineStr">
        <is>
          <t>Компьютеры</t>
        </is>
      </c>
      <c r="B3203" s="2" t="inlineStr">
        <is>
          <t>ASUS</t>
        </is>
      </c>
      <c r="C3203" s="2" t="inlineStr">
        <is>
          <t>90PT03J1-M02240</t>
        </is>
      </c>
      <c r="D3203" s="2" t="inlineStr">
        <is>
          <t>Моноблок Asus A5402WVAR-WPC0010 23.8" Full HD Core 3 100U (1.2) 8Gb SSD512Gb UHDG CR без ОС GbitEth WiFi BT 120W клавиатура мышь Cam белый 1920x1080</t>
        </is>
      </c>
      <c r="E3203" s="2" t="inlineStr">
        <is>
          <t>+ </t>
        </is>
      </c>
      <c r="F3203" s="2" t="inlineStr">
        <is>
          <t>+ </t>
        </is>
      </c>
      <c r="H3203" s="2">
        <v>833</v>
      </c>
      <c r="I3203" s="2" t="inlineStr">
        <is>
          <t>$</t>
        </is>
      </c>
      <c r="J3203" s="2">
        <f>HYPERLINK("https://app.astro.lead-studio.pro/product/987bd49b-3ebd-4008-a246-797dc4b538a1")</f>
      </c>
    </row>
    <row r="3204" spans="1:10" customHeight="0">
      <c r="A3204" s="2" t="inlineStr">
        <is>
          <t>Компьютеры</t>
        </is>
      </c>
      <c r="B3204" s="2" t="inlineStr">
        <is>
          <t>ASUS</t>
        </is>
      </c>
      <c r="C3204" s="2" t="inlineStr">
        <is>
          <t>90PT03J1-M02280</t>
        </is>
      </c>
      <c r="D3204" s="2" t="inlineStr">
        <is>
          <t>Моноблок Asus A5402WVAR-WPC0050 23.8" Full HD Core 7 150U (1.8) 16Gb SSD1Tb Graphics CR без ОС GbitEth WiFi BT 120W клавиатура мышь Cam белый 1920x1080</t>
        </is>
      </c>
      <c r="E3204" s="2" t="inlineStr">
        <is>
          <t>+ </t>
        </is>
      </c>
      <c r="F3204" s="2" t="inlineStr">
        <is>
          <t>+ </t>
        </is>
      </c>
      <c r="H3204" s="2">
        <v>1198</v>
      </c>
      <c r="I3204" s="2" t="inlineStr">
        <is>
          <t>$</t>
        </is>
      </c>
      <c r="J3204" s="2">
        <f>HYPERLINK("https://app.astro.lead-studio.pro/product/5e88f792-a250-4547-94b0-02007ecb0dee")</f>
      </c>
    </row>
    <row r="3205" spans="1:10" customHeight="0">
      <c r="A3205" s="2" t="inlineStr">
        <is>
          <t>Компьютеры</t>
        </is>
      </c>
      <c r="B3205" s="2" t="inlineStr">
        <is>
          <t>ASUS</t>
        </is>
      </c>
      <c r="C3205" s="2" t="inlineStr">
        <is>
          <t>90PT03J1-M02H30</t>
        </is>
      </c>
      <c r="D3205" s="2" t="inlineStr">
        <is>
          <t>Моноблок Asus A5402WVAR-WPC0070 23.8" Full HD Core 5 120U (1.4) 16Gb SSD1Tb Graphics CR без ОС GbitEth WiFi BT 120W клавиатура мышь Cam белый 1920x1080</t>
        </is>
      </c>
      <c r="E3205" s="2" t="inlineStr">
        <is>
          <t>+ </t>
        </is>
      </c>
      <c r="F3205" s="2" t="inlineStr">
        <is>
          <t>+ </t>
        </is>
      </c>
      <c r="H3205" s="2">
        <v>1077</v>
      </c>
      <c r="I3205" s="2" t="inlineStr">
        <is>
          <t>$</t>
        </is>
      </c>
      <c r="J3205" s="2">
        <f>HYPERLINK("https://app.astro.lead-studio.pro/product/4e41c831-bd2e-4df7-817c-1ed024f36973")</f>
      </c>
    </row>
    <row r="3206" spans="1:10" customHeight="0">
      <c r="A3206" s="2" t="inlineStr">
        <is>
          <t>Компьютеры</t>
        </is>
      </c>
      <c r="B3206" s="2" t="inlineStr">
        <is>
          <t>ASUS</t>
        </is>
      </c>
      <c r="C3206" s="2" t="inlineStr">
        <is>
          <t>90PT0391-M00UJ0</t>
        </is>
      </c>
      <c r="D3206" s="2" t="inlineStr">
        <is>
          <t>Моноблок Asus E1600WKAT-BMR008M 15.6" Full HD Touch Cel N4500 (1.1) 4Gb SSD128Gb UHDG CR без ОС GbitEth WiFi BT 65W Cam черный 1920x1080</t>
        </is>
      </c>
      <c r="E3206" s="2" t="inlineStr">
        <is>
          <t>+++ </t>
        </is>
      </c>
      <c r="F3206" s="2" t="inlineStr">
        <is>
          <t>+++ </t>
        </is>
      </c>
      <c r="H3206" s="2">
        <v>437</v>
      </c>
      <c r="I3206" s="2" t="inlineStr">
        <is>
          <t>$</t>
        </is>
      </c>
      <c r="J3206" s="2">
        <f>HYPERLINK("https://app.astro.lead-studio.pro/product/a821b07c-a83d-4e3c-9170-98868a40587b")</f>
      </c>
    </row>
    <row r="3207" spans="1:10" customHeight="0">
      <c r="A3207" s="2" t="inlineStr">
        <is>
          <t>Компьютеры</t>
        </is>
      </c>
      <c r="B3207" s="2" t="inlineStr">
        <is>
          <t>ASUS</t>
        </is>
      </c>
      <c r="C3207" s="2" t="inlineStr">
        <is>
          <t>90PT0391-M00UK0</t>
        </is>
      </c>
      <c r="D3207" s="2" t="inlineStr">
        <is>
          <t>Моноблок Asus E1600WKAT-BMR009M 15.6" Full HD Touch Cel N4500 (1.1) 8Gb SSD256Gb UHDG CR без ОС GbitEth WiFi BT 65W Cam черный 1920x1080</t>
        </is>
      </c>
      <c r="E3207" s="2" t="inlineStr">
        <is>
          <t>+++ </t>
        </is>
      </c>
      <c r="F3207" s="2" t="inlineStr">
        <is>
          <t>+++ </t>
        </is>
      </c>
      <c r="H3207" s="2">
        <v>490</v>
      </c>
      <c r="I3207" s="2" t="inlineStr">
        <is>
          <t>$</t>
        </is>
      </c>
      <c r="J3207" s="2">
        <f>HYPERLINK("https://app.astro.lead-studio.pro/product/2b42f3d7-66e1-4218-8d0c-9fab054ca901")</f>
      </c>
    </row>
    <row r="3208" spans="1:10" customHeight="0">
      <c r="A3208" s="2" t="inlineStr">
        <is>
          <t>Компьютеры</t>
        </is>
      </c>
      <c r="B3208" s="2" t="inlineStr">
        <is>
          <t>ASUS</t>
        </is>
      </c>
      <c r="C3208" s="2" t="inlineStr">
        <is>
          <t>90PT03T2-M00U70</t>
        </is>
      </c>
      <c r="D3208" s="2" t="inlineStr">
        <is>
          <t>Моноблок Asus E3402WVA-BPC0120 23.8" Full HD Core 3 100U (1.2) 16Gb SSD512Gb Graphics CR noOS GbitEth WiFi BT 90W клавиатура мышь Cam черный 1920x1080</t>
        </is>
      </c>
      <c r="E3208" s="2" t="inlineStr">
        <is>
          <t>+ </t>
        </is>
      </c>
      <c r="F3208" s="2" t="inlineStr">
        <is>
          <t>+ </t>
        </is>
      </c>
      <c r="H3208" s="2">
        <v>737</v>
      </c>
      <c r="I3208" s="2" t="inlineStr">
        <is>
          <t>$</t>
        </is>
      </c>
      <c r="J3208" s="2">
        <f>HYPERLINK("https://app.astro.lead-studio.pro/product/7f49bf4c-eba6-4b3c-b2cf-05f09e26807a")</f>
      </c>
    </row>
    <row r="3209" spans="1:10" customHeight="0">
      <c r="A3209" s="2" t="inlineStr">
        <is>
          <t>Компьютеры</t>
        </is>
      </c>
      <c r="B3209" s="2" t="inlineStr">
        <is>
          <t>ASUS</t>
        </is>
      </c>
      <c r="C3209" s="2" t="inlineStr">
        <is>
          <t>90PT03T2-M00UA0</t>
        </is>
      </c>
      <c r="D3209" s="2" t="inlineStr">
        <is>
          <t>Моноблок Asus E3402WVA-BPC0140 23.8" Full HD i5 1335U (1.3) 16Gb SSD512Gb Iris Xe CR noOS GbitEth WiFi BT 90W клавиатура мышь Cam черный 1920x1080</t>
        </is>
      </c>
      <c r="E3209" s="2" t="inlineStr">
        <is>
          <t>++ </t>
        </is>
      </c>
      <c r="F3209" s="2" t="inlineStr">
        <is>
          <t>++ </t>
        </is>
      </c>
      <c r="H3209" s="2">
        <v>815</v>
      </c>
      <c r="I3209" s="2" t="inlineStr">
        <is>
          <t>$</t>
        </is>
      </c>
      <c r="J3209" s="2">
        <f>HYPERLINK("https://app.astro.lead-studio.pro/product/bbbb6df2-40d9-4531-bf7f-c024515e4b65")</f>
      </c>
    </row>
    <row r="3210" spans="1:10" customHeight="0">
      <c r="A3210" s="2" t="inlineStr">
        <is>
          <t>Компьютеры</t>
        </is>
      </c>
      <c r="B3210" s="2" t="inlineStr">
        <is>
          <t>ASUS</t>
        </is>
      </c>
      <c r="C3210" s="2" t="inlineStr">
        <is>
          <t>90PT03T2-M00UB0</t>
        </is>
      </c>
      <c r="D3210" s="2" t="inlineStr">
        <is>
          <t>Моноблок Asus E3402WVA-BPC0150 23.8" Full HD Core 5 120U (1.4) 16Gb SSD1Tb Graphics CR без ОС GbitEth WiFi BT 90W клавиатура мышь Cam черный 1920x1080</t>
        </is>
      </c>
      <c r="E3210" s="2" t="inlineStr">
        <is>
          <t>+ </t>
        </is>
      </c>
      <c r="F3210" s="2" t="inlineStr">
        <is>
          <t>+ </t>
        </is>
      </c>
      <c r="H3210" s="2">
        <v>910</v>
      </c>
      <c r="I3210" s="2" t="inlineStr">
        <is>
          <t>$</t>
        </is>
      </c>
      <c r="J3210" s="2">
        <f>HYPERLINK("https://app.astro.lead-studio.pro/product/50df4b14-82c5-47ec-ba5b-770bffc0b2da")</f>
      </c>
    </row>
    <row r="3211" spans="1:10" customHeight="0">
      <c r="A3211" s="2" t="inlineStr">
        <is>
          <t>Компьютеры</t>
        </is>
      </c>
      <c r="B3211" s="2" t="inlineStr">
        <is>
          <t>ASUS</t>
        </is>
      </c>
      <c r="C3211" s="2" t="inlineStr">
        <is>
          <t>90PT03T2-M00UC0</t>
        </is>
      </c>
      <c r="D3211" s="2" t="inlineStr">
        <is>
          <t>Моноблок Asus E3402WVA-BPC0160 23.8" Full HD i7 1355U (1.7) 16Gb SSD1Tb Iris Xe CR без ОС GbitEth WiFi BT 90W клавиатура мышь Cam черный 1920x1080</t>
        </is>
      </c>
      <c r="E3211" s="2" t="inlineStr">
        <is>
          <t>+ </t>
        </is>
      </c>
      <c r="F3211" s="2" t="inlineStr">
        <is>
          <t>+ </t>
        </is>
      </c>
      <c r="H3211" s="2">
        <v>946</v>
      </c>
      <c r="I3211" s="2" t="inlineStr">
        <is>
          <t>$</t>
        </is>
      </c>
      <c r="J3211" s="2">
        <f>HYPERLINK("https://app.astro.lead-studio.pro/product/7b336059-db3b-4584-be28-dd6b04186abb")</f>
      </c>
    </row>
    <row r="3212" spans="1:10" customHeight="0">
      <c r="A3212" s="2" t="inlineStr">
        <is>
          <t>Компьютеры</t>
        </is>
      </c>
      <c r="B3212" s="2" t="inlineStr">
        <is>
          <t>ASUS</t>
        </is>
      </c>
      <c r="C3212" s="2" t="inlineStr">
        <is>
          <t>90PT03T1-M00UE0</t>
        </is>
      </c>
      <c r="D3212" s="2" t="inlineStr">
        <is>
          <t>Моноблок Asus E3402WVA-WPC0170 23.8" Full HD Core 3 100U (1.2) 16Gb SSD512Gb Graphics CR без ОС GbitEth WiFi BT 90W клавиатура мышь Cam белый 1920x1080</t>
        </is>
      </c>
      <c r="E3212" s="2" t="inlineStr">
        <is>
          <t>+ </t>
        </is>
      </c>
      <c r="F3212" s="2" t="inlineStr">
        <is>
          <t>+ </t>
        </is>
      </c>
      <c r="H3212" s="2">
        <v>735</v>
      </c>
      <c r="I3212" s="2" t="inlineStr">
        <is>
          <t>$</t>
        </is>
      </c>
      <c r="J3212" s="2">
        <f>HYPERLINK("https://app.astro.lead-studio.pro/product/fbf3bbcd-7e12-41cd-b05a-766634a94e57")</f>
      </c>
    </row>
    <row r="3213" spans="1:10" customHeight="0">
      <c r="A3213" s="2" t="inlineStr">
        <is>
          <t>Компьютеры</t>
        </is>
      </c>
      <c r="B3213" s="2" t="inlineStr">
        <is>
          <t>ASUS</t>
        </is>
      </c>
      <c r="C3213" s="2" t="inlineStr">
        <is>
          <t>90PT03T1-M00UJ0</t>
        </is>
      </c>
      <c r="D3213" s="2" t="inlineStr">
        <is>
          <t>Моноблок Asus E3402WVA-WPC0190 23.8" Full HD i5 1335U (1.3) 16Gb SSD512Gb Iris Xe CR без ОС GbitEth WiFi BT 90W клавиатура мышь Cam белый 1920x1080</t>
        </is>
      </c>
      <c r="E3213" s="2" t="inlineStr">
        <is>
          <t>++ </t>
        </is>
      </c>
      <c r="F3213" s="2" t="inlineStr">
        <is>
          <t>++ </t>
        </is>
      </c>
      <c r="H3213" s="2">
        <v>821</v>
      </c>
      <c r="I3213" s="2" t="inlineStr">
        <is>
          <t>$</t>
        </is>
      </c>
      <c r="J3213" s="2">
        <f>HYPERLINK("https://app.astro.lead-studio.pro/product/5f48faf2-3952-41d2-9d6d-10a798d5fd7c")</f>
      </c>
    </row>
    <row r="3214" spans="1:10" customHeight="0">
      <c r="A3214" s="2" t="inlineStr">
        <is>
          <t>Компьютеры</t>
        </is>
      </c>
      <c r="B3214" s="2" t="inlineStr">
        <is>
          <t>ASUS</t>
        </is>
      </c>
      <c r="C3214" s="2" t="inlineStr">
        <is>
          <t>90PT03T1-M00UK0</t>
        </is>
      </c>
      <c r="D3214" s="2" t="inlineStr">
        <is>
          <t>Моноблок Asus E3402WVA-WPC0200 23.8" Full HD Core 5 120U (1.4) 16Gb SSD1Tb Graphics CR без ОС GbitEth WiFi BT 90W клавиатура мышь Cam белый 1920x1080</t>
        </is>
      </c>
      <c r="E3214" s="2" t="inlineStr">
        <is>
          <t>+ </t>
        </is>
      </c>
      <c r="F3214" s="2" t="inlineStr">
        <is>
          <t>+ </t>
        </is>
      </c>
      <c r="H3214" s="2">
        <v>904</v>
      </c>
      <c r="I3214" s="2" t="inlineStr">
        <is>
          <t>$</t>
        </is>
      </c>
      <c r="J3214" s="2">
        <f>HYPERLINK("https://app.astro.lead-studio.pro/product/120abfca-6952-407a-98be-33f07c32f733")</f>
      </c>
    </row>
    <row r="3215" spans="1:10" customHeight="0">
      <c r="A3215" s="2" t="inlineStr">
        <is>
          <t>Компьютеры</t>
        </is>
      </c>
      <c r="B3215" s="2" t="inlineStr">
        <is>
          <t>ASUS</t>
        </is>
      </c>
      <c r="C3215" s="2" t="inlineStr">
        <is>
          <t>90PT03T1-M00UL0</t>
        </is>
      </c>
      <c r="D3215" s="2" t="inlineStr">
        <is>
          <t>Моноблок Asus E3402WVA-WPC0210 23.8" Full HD i7 1355U (1.7) 16Gb SSD1Tb Iris Xe CR noOS GbitEth WiFi BT 90W клавиатура мышь Cam белый 1920x1080</t>
        </is>
      </c>
      <c r="E3215" s="2" t="inlineStr">
        <is>
          <t>+ </t>
        </is>
      </c>
      <c r="F3215" s="2" t="inlineStr">
        <is>
          <t>+ </t>
        </is>
      </c>
      <c r="H3215" s="2">
        <v>946</v>
      </c>
      <c r="I3215" s="2" t="inlineStr">
        <is>
          <t>$</t>
        </is>
      </c>
      <c r="J3215" s="2">
        <f>HYPERLINK("https://app.astro.lead-studio.pro/product/952e47c6-e53e-4607-9331-b78a7df89ff7")</f>
      </c>
    </row>
    <row r="3216" spans="1:10" customHeight="0">
      <c r="A3216" s="2" t="inlineStr">
        <is>
          <t>Компьютеры</t>
        </is>
      </c>
      <c r="B3216" s="2" t="inlineStr">
        <is>
          <t>ASUS</t>
        </is>
      </c>
      <c r="C3216" s="2" t="inlineStr">
        <is>
          <t>90PT03J4-M021Y0</t>
        </is>
      </c>
      <c r="D3216" s="2" t="inlineStr">
        <is>
          <t>Моноблок Asus E5402WVA-BPC0090 23.8" Full HD i5 1340P (1.9) 16Gb SSD512Gb UHDG CR без ОС GbitEth WiFi BT 120W клавиатура мышь Cam черный 1920x1080</t>
        </is>
      </c>
      <c r="E3216" s="2" t="inlineStr">
        <is>
          <t>+ </t>
        </is>
      </c>
      <c r="F3216" s="2" t="inlineStr">
        <is>
          <t>+ </t>
        </is>
      </c>
      <c r="H3216" s="2">
        <v>962</v>
      </c>
      <c r="I3216" s="2" t="inlineStr">
        <is>
          <t>$</t>
        </is>
      </c>
      <c r="J3216" s="2">
        <f>HYPERLINK("https://app.astro.lead-studio.pro/product/53fc8872-9e8c-4df7-acf4-1bb5c878d14c")</f>
      </c>
    </row>
    <row r="3217" spans="1:10" customHeight="0">
      <c r="A3217" s="2" t="inlineStr">
        <is>
          <t>Компьютеры</t>
        </is>
      </c>
      <c r="B3217" s="2" t="inlineStr">
        <is>
          <t>ASUS</t>
        </is>
      </c>
      <c r="C3217" s="2" t="inlineStr">
        <is>
          <t>90PT03J4-M021Z0</t>
        </is>
      </c>
      <c r="D3217" s="2" t="inlineStr">
        <is>
          <t>Моноблок Asus E5402WVA-BPC0100 23.8" Full HD i7 1360P (2.2) 16Gb SSD512Gb UHDG CR без ОС GbitEth WiFi BT 120W клавиатура мышь Cam черный 1920x1080</t>
        </is>
      </c>
      <c r="E3217" s="2" t="inlineStr">
        <is>
          <t>+ </t>
        </is>
      </c>
      <c r="F3217" s="2" t="inlineStr">
        <is>
          <t>+ </t>
        </is>
      </c>
      <c r="H3217" s="2">
        <v>1078</v>
      </c>
      <c r="I3217" s="2" t="inlineStr">
        <is>
          <t>$</t>
        </is>
      </c>
      <c r="J3217" s="2">
        <f>HYPERLINK("https://app.astro.lead-studio.pro/product/dd732aa3-11b9-47d6-b4cb-eea973e8178b")</f>
      </c>
    </row>
    <row r="3218" spans="1:10" customHeight="0">
      <c r="A3218" s="2" t="inlineStr">
        <is>
          <t>Компьютеры</t>
        </is>
      </c>
      <c r="B3218" s="2" t="inlineStr">
        <is>
          <t>ASUS</t>
        </is>
      </c>
      <c r="C3218" s="2" t="inlineStr">
        <is>
          <t>90PT03J4-M02HR0</t>
        </is>
      </c>
      <c r="D3218" s="2" t="inlineStr">
        <is>
          <t>Моноблок Asus E5402WVAR-BPC0080 23.8" Full HD Core 3 100U (1.2) 8Gb SSD512Gb Graphics CR без ОС GbitEth WiFi BT 120W клавиатура мышь Cam черный 1920x1080</t>
        </is>
      </c>
      <c r="E3218" s="2" t="inlineStr">
        <is>
          <t>+ </t>
        </is>
      </c>
      <c r="F3218" s="2" t="inlineStr">
        <is>
          <t>+ </t>
        </is>
      </c>
      <c r="H3218" s="2">
        <v>779</v>
      </c>
      <c r="I3218" s="2" t="inlineStr">
        <is>
          <t>$</t>
        </is>
      </c>
      <c r="J3218" s="2">
        <f>HYPERLINK("https://app.astro.lead-studio.pro/product/79bfad5e-0ed2-48d3-b1c6-388e79837eb8")</f>
      </c>
    </row>
    <row r="3219" spans="1:10" customHeight="0">
      <c r="A3219" s="2" t="inlineStr">
        <is>
          <t>Компьютеры</t>
        </is>
      </c>
      <c r="B3219" s="2" t="inlineStr">
        <is>
          <t>ASUS</t>
        </is>
      </c>
      <c r="C3219" s="2" t="inlineStr">
        <is>
          <t>90PT03J4-M02HS0</t>
        </is>
      </c>
      <c r="D3219" s="2" t="inlineStr">
        <is>
          <t>Моноблок Asus E5402WVAR-BPC0090 23.8" Full HD Core 5 120U (1.4) 16Gb SSD512Gb Graphics CR без ОС GbitEth WiFi BT 120W клавиатура мышь Cam черный 1920x1080</t>
        </is>
      </c>
      <c r="E3219" s="2" t="inlineStr">
        <is>
          <t>++ </t>
        </is>
      </c>
      <c r="F3219" s="2" t="inlineStr">
        <is>
          <t>++ </t>
        </is>
      </c>
      <c r="H3219" s="2">
        <v>961</v>
      </c>
      <c r="I3219" s="2" t="inlineStr">
        <is>
          <t>$</t>
        </is>
      </c>
      <c r="J3219" s="2">
        <f>HYPERLINK("https://app.astro.lead-studio.pro/product/f4780601-7aa8-4148-ac15-5fde3d12ec2e")</f>
      </c>
    </row>
    <row r="3220" spans="1:10" customHeight="0">
      <c r="A3220" s="2" t="inlineStr">
        <is>
          <t>Компьютеры</t>
        </is>
      </c>
      <c r="B3220" s="2" t="inlineStr">
        <is>
          <t>ASUS</t>
        </is>
      </c>
      <c r="C3220" s="2" t="inlineStr">
        <is>
          <t>90PT03N1-M00VW0</t>
        </is>
      </c>
      <c r="D3220" s="2" t="inlineStr">
        <is>
          <t>Моноблок Asus E5702WVA-BPE0090 27" Full HD i5 1340P (1.9) 16Gb SSD512Gb Iris Xe CR без ОС GbitEth WiFi BT 120W клавиатура мышь Cam черный 1920x1080</t>
        </is>
      </c>
      <c r="E3220" s="2" t="inlineStr">
        <is>
          <t>+ </t>
        </is>
      </c>
      <c r="F3220" s="2" t="inlineStr">
        <is>
          <t>+ </t>
        </is>
      </c>
      <c r="H3220" s="2">
        <v>1047</v>
      </c>
      <c r="I3220" s="2" t="inlineStr">
        <is>
          <t>$</t>
        </is>
      </c>
      <c r="J3220" s="2">
        <f>HYPERLINK("https://app.astro.lead-studio.pro/product/4c4816d8-213f-454c-a298-65e5cc271a3b")</f>
      </c>
    </row>
    <row r="3221" spans="1:10" customHeight="0">
      <c r="A3221" s="2" t="inlineStr">
        <is>
          <t>Компьютеры</t>
        </is>
      </c>
      <c r="B3221" s="2" t="inlineStr">
        <is>
          <t>ASUS</t>
        </is>
      </c>
      <c r="C3221" s="2" t="inlineStr">
        <is>
          <t>90PT03N1-M00VY0</t>
        </is>
      </c>
      <c r="D3221" s="2" t="inlineStr">
        <is>
          <t>Моноблок Asus E5702WVA-BPE0110 27" Full HD i7 1360P (2.2) 16Gb SSD512Gb UHDG CR без ОС GbitEth WiFi BT 120W клавиатура мышь Cam черный 1920x1080</t>
        </is>
      </c>
      <c r="E3221" s="2" t="inlineStr">
        <is>
          <t>+ </t>
        </is>
      </c>
      <c r="F3221" s="2" t="inlineStr">
        <is>
          <t>+ </t>
        </is>
      </c>
      <c r="H3221" s="2">
        <v>1075</v>
      </c>
      <c r="I3221" s="2" t="inlineStr">
        <is>
          <t>$</t>
        </is>
      </c>
      <c r="J3221" s="2">
        <f>HYPERLINK("https://app.astro.lead-studio.pro/product/b42eb285-9489-479b-8655-c653036aeebd")</f>
      </c>
    </row>
    <row r="3222" spans="1:10" customHeight="0">
      <c r="A3222" s="2" t="inlineStr">
        <is>
          <t>Компьютеры</t>
        </is>
      </c>
      <c r="B3222" s="2" t="inlineStr">
        <is>
          <t>ASUS</t>
        </is>
      </c>
      <c r="C3222" s="2" t="inlineStr">
        <is>
          <t>90PT03N1-M00W00</t>
        </is>
      </c>
      <c r="D3222" s="2" t="inlineStr">
        <is>
          <t>Моноблок Asus E5702WVAR-BPE0020 27" Full HD Core 3 100U (1.2) 8Gb SSD512Gb Graphics CR без ОС GbitEth WiFi BT 120W клавиатура мышь Cam черный 1920x1080</t>
        </is>
      </c>
      <c r="E3222" s="2" t="inlineStr">
        <is>
          <t>++ </t>
        </is>
      </c>
      <c r="F3222" s="2" t="inlineStr">
        <is>
          <t>++ </t>
        </is>
      </c>
      <c r="H3222" s="2">
        <v>832</v>
      </c>
      <c r="I3222" s="2" t="inlineStr">
        <is>
          <t>$</t>
        </is>
      </c>
      <c r="J3222" s="2">
        <f>HYPERLINK("https://app.astro.lead-studio.pro/product/5c5d7fe6-2982-4f73-a035-bf92f7651b7e")</f>
      </c>
    </row>
    <row r="3223" spans="1:10" customHeight="0">
      <c r="A3223" s="2" t="inlineStr">
        <is>
          <t>Компьютеры</t>
        </is>
      </c>
      <c r="B3223" s="2" t="inlineStr">
        <is>
          <t>ASUS</t>
        </is>
      </c>
      <c r="C3223" s="2" t="inlineStr">
        <is>
          <t>90PT03N1-M00W20</t>
        </is>
      </c>
      <c r="D3223" s="2" t="inlineStr">
        <is>
          <t>Моноблок Asus E5702WVAR-BPE0030 27" Full HD Core 5 120U (1.4) 8Gb SSD512Gb Graphics CR без ОС GbitEth WiFi BT 120W клавиатура мышь Cam черный 1920x1080</t>
        </is>
      </c>
      <c r="E3223" s="2" t="inlineStr">
        <is>
          <t>+ </t>
        </is>
      </c>
      <c r="F3223" s="2" t="inlineStr">
        <is>
          <t>+ </t>
        </is>
      </c>
      <c r="H3223" s="2">
        <v>982</v>
      </c>
      <c r="I3223" s="2" t="inlineStr">
        <is>
          <t>$</t>
        </is>
      </c>
      <c r="J3223" s="2">
        <f>HYPERLINK("https://app.astro.lead-studio.pro/product/6845d43c-2836-43b8-8618-91de294bb7f3")</f>
      </c>
    </row>
    <row r="3224" spans="1:10" customHeight="0">
      <c r="A3224" s="2" t="inlineStr">
        <is>
          <t>Компьютеры</t>
        </is>
      </c>
      <c r="B3224" s="2" t="inlineStr">
        <is>
          <t>ASUS</t>
        </is>
      </c>
      <c r="C3224" s="2" t="inlineStr">
        <is>
          <t>90PT03N1-M00W30</t>
        </is>
      </c>
      <c r="D3224" s="2" t="inlineStr">
        <is>
          <t>Моноблок Asus E5702WVAR-BPE0040 27" Full HD Core 5 120U (1.4) 16Gb SSD512Gb Graphics CR без ОС GbitEth WiFi BT 120W клавиатура мышь Cam черный 1920x1080</t>
        </is>
      </c>
      <c r="E3224" s="2" t="inlineStr">
        <is>
          <t>++ </t>
        </is>
      </c>
      <c r="F3224" s="2" t="inlineStr">
        <is>
          <t>++ </t>
        </is>
      </c>
      <c r="H3224" s="2">
        <v>1054</v>
      </c>
      <c r="I3224" s="2" t="inlineStr">
        <is>
          <t>$</t>
        </is>
      </c>
      <c r="J3224" s="2">
        <f>HYPERLINK("https://app.astro.lead-studio.pro/product/2ceca919-8895-4321-a172-602e7bd14298")</f>
      </c>
    </row>
    <row r="3225" spans="1:10" customHeight="0">
      <c r="A3225" s="2" t="inlineStr">
        <is>
          <t>Компьютеры</t>
        </is>
      </c>
      <c r="B3225" s="2" t="inlineStr">
        <is>
          <t>ASUS</t>
        </is>
      </c>
      <c r="C3225" s="2" t="inlineStr">
        <is>
          <t>90PT03N1-M00W50</t>
        </is>
      </c>
      <c r="D3225" s="2" t="inlineStr">
        <is>
          <t>Моноблок Asus E5702WVAR-BPE0060 27" Full HD Core 7 150U (1.8) 16Gb SSD1Tb Graphics CR без ОС GbitEth WiFi BT 120W клавиатура мышь Cam черный 1920x1080</t>
        </is>
      </c>
      <c r="E3225" s="2" t="inlineStr">
        <is>
          <t>++ </t>
        </is>
      </c>
      <c r="F3225" s="2" t="inlineStr">
        <is>
          <t>++ </t>
        </is>
      </c>
      <c r="H3225" s="2">
        <v>1230</v>
      </c>
      <c r="I3225" s="2" t="inlineStr">
        <is>
          <t>$</t>
        </is>
      </c>
      <c r="J3225" s="2">
        <f>HYPERLINK("https://app.astro.lead-studio.pro/product/5ed71e39-1465-442f-8751-bf22cfd5ca17")</f>
      </c>
    </row>
    <row r="3226" spans="1:10" customHeight="0">
      <c r="A3226" s="2" t="inlineStr">
        <is>
          <t>Компьютеры</t>
        </is>
      </c>
      <c r="B3226" s="2" t="inlineStr">
        <is>
          <t>ASUS</t>
        </is>
      </c>
      <c r="C3226" s="2" t="inlineStr">
        <is>
          <t>90PT03L2-M00K00</t>
        </is>
      </c>
      <c r="D3226" s="2" t="inlineStr">
        <is>
          <t>Моноблок Asus F3402WFA-BPC0050 23.8" Full HD Ryzen 3 7320U (2.4) 8Gb SSD512Gb RGr CR без ОС GbitEth WiFi BT 90W клавиатура мышь Cam черный 1920x1080</t>
        </is>
      </c>
      <c r="E3226" s="2" t="inlineStr">
        <is>
          <t>+++ </t>
        </is>
      </c>
      <c r="F3226" s="2" t="inlineStr">
        <is>
          <t>+++ </t>
        </is>
      </c>
      <c r="H3226" s="2">
        <v>641</v>
      </c>
      <c r="I3226" s="2" t="inlineStr">
        <is>
          <t>$</t>
        </is>
      </c>
      <c r="J3226" s="2">
        <f>HYPERLINK("https://app.astro.lead-studio.pro/product/d6dc7332-df58-4760-993e-1f2a35f55c11")</f>
      </c>
    </row>
    <row r="3227" spans="1:10" customHeight="0">
      <c r="A3227" s="2" t="inlineStr">
        <is>
          <t>Компьютеры</t>
        </is>
      </c>
      <c r="B3227" s="2" t="inlineStr">
        <is>
          <t>ASUS</t>
        </is>
      </c>
      <c r="C3227" s="2" t="inlineStr">
        <is>
          <t>90PT03L2-M00K20</t>
        </is>
      </c>
      <c r="D3227" s="2" t="inlineStr">
        <is>
          <t>Моноблок Asus F3402WFA-BPC0060 23.8" Full HD Ryzen 5 7520U (2.8) 8Gb SSD512Gb RGr CR без ОС GbitEth WiFi BT 90W клавиатура мышь Cam черный 1920x1080</t>
        </is>
      </c>
      <c r="E3227" s="2" t="inlineStr">
        <is>
          <t>+ </t>
        </is>
      </c>
      <c r="F3227" s="2" t="inlineStr">
        <is>
          <t>+ </t>
        </is>
      </c>
      <c r="H3227" s="2">
        <v>667</v>
      </c>
      <c r="I3227" s="2" t="inlineStr">
        <is>
          <t>$</t>
        </is>
      </c>
      <c r="J3227" s="2">
        <f>HYPERLINK("https://app.astro.lead-studio.pro/product/8c478eff-0500-463b-a475-058063fdc1da")</f>
      </c>
    </row>
    <row r="3228" spans="1:10" customHeight="0">
      <c r="A3228" s="2" t="inlineStr">
        <is>
          <t>Компьютеры</t>
        </is>
      </c>
      <c r="B3228" s="2" t="inlineStr">
        <is>
          <t>ASUS</t>
        </is>
      </c>
      <c r="C3228" s="2" t="inlineStr">
        <is>
          <t>90PT03L2-M00K50</t>
        </is>
      </c>
      <c r="D3228" s="2" t="inlineStr">
        <is>
          <t>Моноблок Asus F3402WFA-BPC0070 23.8" Full HD Ryzen 5 7520U (2.8) 16Gb SSD512Gb RGr CR без ОС GbitEth WiFi BT 90W клавиатура мышь Cam черный 1920x1080</t>
        </is>
      </c>
      <c r="E3228" s="2" t="inlineStr">
        <is>
          <t>+++ </t>
        </is>
      </c>
      <c r="F3228" s="2" t="inlineStr">
        <is>
          <t>+++ </t>
        </is>
      </c>
      <c r="H3228" s="2">
        <v>726</v>
      </c>
      <c r="I3228" s="2" t="inlineStr">
        <is>
          <t>$</t>
        </is>
      </c>
      <c r="J3228" s="2">
        <f>HYPERLINK("https://app.astro.lead-studio.pro/product/a1490a8d-8acf-4741-b6f2-b083bd449829")</f>
      </c>
    </row>
    <row r="3229" spans="1:10" customHeight="0">
      <c r="A3229" s="2" t="inlineStr">
        <is>
          <t>Компьютеры</t>
        </is>
      </c>
      <c r="B3229" s="2" t="inlineStr">
        <is>
          <t>ASUS</t>
        </is>
      </c>
      <c r="C3229" s="2" t="inlineStr">
        <is>
          <t>90PT03L1-M00JT0</t>
        </is>
      </c>
      <c r="D3229" s="2" t="inlineStr">
        <is>
          <t>Моноблок Asus F3402WFA-WPC0040 23.8" Full HD Ryzen 3 7320U (2.4) 8Gb SSD512Gb RGr CR без ОС GbitEth WiFi BT 90W клавиатура мышь Cam белый 1920x1080</t>
        </is>
      </c>
      <c r="E3229" s="2" t="inlineStr">
        <is>
          <t>+++ </t>
        </is>
      </c>
      <c r="F3229" s="2" t="inlineStr">
        <is>
          <t>+++ </t>
        </is>
      </c>
      <c r="H3229" s="2">
        <v>652</v>
      </c>
      <c r="I3229" s="2" t="inlineStr">
        <is>
          <t>$</t>
        </is>
      </c>
      <c r="J3229" s="2">
        <f>HYPERLINK("https://app.astro.lead-studio.pro/product/98248115-4da5-4413-9870-32298618dbbf")</f>
      </c>
    </row>
    <row r="3230" spans="1:10" customHeight="0">
      <c r="A3230" s="2" t="inlineStr">
        <is>
          <t>Компьютеры</t>
        </is>
      </c>
      <c r="B3230" s="2" t="inlineStr">
        <is>
          <t>ASUS</t>
        </is>
      </c>
      <c r="C3230" s="2" t="inlineStr">
        <is>
          <t>90PT03L1-M00JV0</t>
        </is>
      </c>
      <c r="D3230" s="2" t="inlineStr">
        <is>
          <t>Моноблок Asus F3402WFA-WPC0050 23.8" Full HD Ryzen 5 7520U (2.8) 8Gb SSD512Gb RGr CR без ОС GbitEth WiFi BT 90W клавиатура мышь Cam белый 1920x1080</t>
        </is>
      </c>
      <c r="E3230" s="2" t="inlineStr">
        <is>
          <t>+++ </t>
        </is>
      </c>
      <c r="F3230" s="2" t="inlineStr">
        <is>
          <t>+++ </t>
        </is>
      </c>
      <c r="H3230" s="2">
        <v>719</v>
      </c>
      <c r="I3230" s="2" t="inlineStr">
        <is>
          <t>$</t>
        </is>
      </c>
      <c r="J3230" s="2">
        <f>HYPERLINK("https://app.astro.lead-studio.pro/product/18a22006-dd56-4199-ac08-77992fc0d96e")</f>
      </c>
    </row>
    <row r="3231" spans="1:10" customHeight="0">
      <c r="A3231" s="2" t="inlineStr">
        <is>
          <t>Компьютеры</t>
        </is>
      </c>
      <c r="B3231" s="2" t="inlineStr">
        <is>
          <t>ASUS</t>
        </is>
      </c>
      <c r="C3231" s="2" t="inlineStr">
        <is>
          <t>90PT03L1-M00JY0</t>
        </is>
      </c>
      <c r="D3231" s="2" t="inlineStr">
        <is>
          <t>Моноблок Asus F3402WFA-WPC0060 23.8" Full HD Ryzen 5 7520U (2.8) 16Gb SSD512Gb RGr CR noOS GbitEth WiFi BT 90W клавиатура мышь Cam белый 1920x1080</t>
        </is>
      </c>
      <c r="E3231" s="2" t="inlineStr">
        <is>
          <t>+++ </t>
        </is>
      </c>
      <c r="F3231" s="2" t="inlineStr">
        <is>
          <t>+++ </t>
        </is>
      </c>
      <c r="H3231" s="2">
        <v>727</v>
      </c>
      <c r="I3231" s="2" t="inlineStr">
        <is>
          <t>$</t>
        </is>
      </c>
      <c r="J3231" s="2">
        <f>HYPERLINK("https://app.astro.lead-studio.pro/product/e220377e-cf23-4ed9-8104-dff5ed027fd1")</f>
      </c>
    </row>
    <row r="3232" spans="1:10" customHeight="0">
      <c r="A3232" s="2" t="inlineStr">
        <is>
          <t>Компьютеры</t>
        </is>
      </c>
      <c r="B3232" s="2" t="inlineStr">
        <is>
          <t>ASUS</t>
        </is>
      </c>
      <c r="C3232" s="2" t="inlineStr">
        <is>
          <t>90PT03M2-M00D60</t>
        </is>
      </c>
      <c r="D3232" s="2" t="inlineStr">
        <is>
          <t>Моноблок Asus F3702WFA-BPE0090 27" Full HD Ryzen 3 7320U (2.4) 8Gb SSD512Gb RGr CR без ОС GbitEth WiFi BT 90W клавиатура мышь Cam черный 1920x1080</t>
        </is>
      </c>
      <c r="E3232" s="2" t="inlineStr">
        <is>
          <t>+++ </t>
        </is>
      </c>
      <c r="F3232" s="2" t="inlineStr">
        <is>
          <t>+++ </t>
        </is>
      </c>
      <c r="H3232" s="2">
        <v>750</v>
      </c>
      <c r="I3232" s="2" t="inlineStr">
        <is>
          <t>$</t>
        </is>
      </c>
      <c r="J3232" s="2">
        <f>HYPERLINK("https://app.astro.lead-studio.pro/product/4bd441c5-7bbb-4fd3-854f-38841994c26b")</f>
      </c>
    </row>
    <row r="3233" spans="1:10" customHeight="0">
      <c r="A3233" s="2" t="inlineStr">
        <is>
          <t>Компьютеры</t>
        </is>
      </c>
      <c r="B3233" s="2" t="inlineStr">
        <is>
          <t>ASUS</t>
        </is>
      </c>
      <c r="C3233" s="2" t="inlineStr">
        <is>
          <t>90PT03M2-M00D80</t>
        </is>
      </c>
      <c r="D3233" s="2" t="inlineStr">
        <is>
          <t>Моноблок Asus F3702WFA-BPE0100 27" Full HD Ryzen 5 7520U (2.8) 8Gb SSD512Gb RGr CR без ОС GbitEth WiFi BT 90W клавиатура мышь Cam черный 1920x1080</t>
        </is>
      </c>
      <c r="E3233" s="2" t="inlineStr">
        <is>
          <t>++ </t>
        </is>
      </c>
      <c r="F3233" s="2" t="inlineStr">
        <is>
          <t>++ </t>
        </is>
      </c>
      <c r="H3233" s="2">
        <v>774</v>
      </c>
      <c r="I3233" s="2" t="inlineStr">
        <is>
          <t>$</t>
        </is>
      </c>
      <c r="J3233" s="2">
        <f>HYPERLINK("https://app.astro.lead-studio.pro/product/2f73bb03-752e-4c05-80ec-12db27d7413a")</f>
      </c>
    </row>
    <row r="3234" spans="1:10" customHeight="0">
      <c r="A3234" s="2" t="inlineStr">
        <is>
          <t>Компьютеры</t>
        </is>
      </c>
      <c r="B3234" s="2" t="inlineStr">
        <is>
          <t>ASUS</t>
        </is>
      </c>
      <c r="C3234" s="2" t="inlineStr">
        <is>
          <t>90PT03M2-M00DA0</t>
        </is>
      </c>
      <c r="D3234" s="2" t="inlineStr">
        <is>
          <t>Моноблок Asus F3702WFA-BPE0110 27" Full HD Ryzen 5 7520U (2.8) 16Gb SSD512Gb RGr CR без ОС GbitEth WiFi BT 90W клавиатура мышь Cam черный 1920x1080</t>
        </is>
      </c>
      <c r="E3234" s="2" t="inlineStr">
        <is>
          <t>+++ </t>
        </is>
      </c>
      <c r="F3234" s="2" t="inlineStr">
        <is>
          <t>+++ </t>
        </is>
      </c>
      <c r="H3234" s="2">
        <v>843</v>
      </c>
      <c r="I3234" s="2" t="inlineStr">
        <is>
          <t>$</t>
        </is>
      </c>
      <c r="J3234" s="2">
        <f>HYPERLINK("https://app.astro.lead-studio.pro/product/8e6cab6b-03b0-4d2d-8cff-2bb6ee69dfc1")</f>
      </c>
    </row>
    <row r="3235" spans="1:10" customHeight="0">
      <c r="A3235" s="2" t="inlineStr">
        <is>
          <t>Компьютеры</t>
        </is>
      </c>
      <c r="B3235" s="2" t="inlineStr">
        <is>
          <t>ASUS</t>
        </is>
      </c>
      <c r="C3235" s="2" t="inlineStr">
        <is>
          <t>90PT03M1-M00D10</t>
        </is>
      </c>
      <c r="D3235" s="2" t="inlineStr">
        <is>
          <t>Моноблок Asus F3702WFA-WPE0030 27" Full HD Ryzen 3 7320U (2.4) 8Gb SSD512Gb RGr CR без ОС GbitEth WiFi BT 90W клавиатура мышь Cam белый 1920x1080</t>
        </is>
      </c>
      <c r="E3235" s="2" t="inlineStr">
        <is>
          <t>+++ </t>
        </is>
      </c>
      <c r="F3235" s="2" t="inlineStr">
        <is>
          <t>+++ </t>
        </is>
      </c>
      <c r="H3235" s="2">
        <v>748</v>
      </c>
      <c r="I3235" s="2" t="inlineStr">
        <is>
          <t>$</t>
        </is>
      </c>
      <c r="J3235" s="2">
        <f>HYPERLINK("https://app.astro.lead-studio.pro/product/9763dd0e-ca52-4fb5-b4c8-0f4f0506b842")</f>
      </c>
    </row>
    <row r="3236" spans="1:10" customHeight="0">
      <c r="A3236" s="2" t="inlineStr">
        <is>
          <t>Компьютеры</t>
        </is>
      </c>
      <c r="B3236" s="2" t="inlineStr">
        <is>
          <t>ASUS</t>
        </is>
      </c>
      <c r="C3236" s="2" t="inlineStr">
        <is>
          <t>90PT03M1-M00D30</t>
        </is>
      </c>
      <c r="D3236" s="2" t="inlineStr">
        <is>
          <t>Моноблок Asus F3702WFA-WPE0040 27" Full HD Ryzen 5 7520U (2.8) 8Gb SSD512Gb RGr CR без ОС GbitEth WiFi BT 90W клавиатура мышь Cam белый 1920x1080</t>
        </is>
      </c>
      <c r="E3236" s="2" t="inlineStr">
        <is>
          <t>++ </t>
        </is>
      </c>
      <c r="F3236" s="2" t="inlineStr">
        <is>
          <t>++ </t>
        </is>
      </c>
      <c r="H3236" s="2">
        <v>768</v>
      </c>
      <c r="I3236" s="2" t="inlineStr">
        <is>
          <t>$</t>
        </is>
      </c>
      <c r="J3236" s="2">
        <f>HYPERLINK("https://app.astro.lead-studio.pro/product/0bfaa38a-3bf9-4571-8b9e-2d6111f9c65b")</f>
      </c>
    </row>
    <row r="3237" spans="1:10" customHeight="0">
      <c r="A3237" s="2" t="inlineStr">
        <is>
          <t>Компьютеры</t>
        </is>
      </c>
      <c r="B3237" s="2" t="inlineStr">
        <is>
          <t>ASUS</t>
        </is>
      </c>
      <c r="C3237" s="2" t="inlineStr">
        <is>
          <t>90PT03M1-M00D50</t>
        </is>
      </c>
      <c r="D3237" s="2" t="inlineStr">
        <is>
          <t>Моноблок Asus F3702WFA-WPE0050 27" Full HD Ryzen 5 7520U (2.8) 16Gb SSD512Gb RGr CR без ОС GbitEth WiFi BT 90W клавиатура мышь Cam белый 1920x1080</t>
        </is>
      </c>
      <c r="E3237" s="2" t="inlineStr">
        <is>
          <t>+++ </t>
        </is>
      </c>
      <c r="F3237" s="2" t="inlineStr">
        <is>
          <t>+++ </t>
        </is>
      </c>
      <c r="H3237" s="2">
        <v>886</v>
      </c>
      <c r="I3237" s="2" t="inlineStr">
        <is>
          <t>$</t>
        </is>
      </c>
      <c r="J3237" s="2">
        <f>HYPERLINK("https://app.astro.lead-studio.pro/product/256c3c35-bc2b-4471-b24a-95b5bb585f61")</f>
      </c>
    </row>
    <row r="3238" spans="1:10" customHeight="0">
      <c r="A3238" s="2" t="inlineStr">
        <is>
          <t>Компьютеры</t>
        </is>
      </c>
      <c r="B3238" s="2" t="inlineStr">
        <is>
          <t>DELL</t>
        </is>
      </c>
      <c r="C3238" s="2" t="inlineStr">
        <is>
          <t>7730-7641</t>
        </is>
      </c>
      <c r="D3238" s="2" t="inlineStr">
        <is>
          <t>Моноблок Dell Inspiron 7730 27" Full HD Core 7 150U (1.8) 16Gb SSD1Tb Graphics CR Windows 11 Professional GbitEth WiFi BT 90W клавиатура мышь Cam серебристый 1920x1080</t>
        </is>
      </c>
      <c r="E3238" s="2" t="inlineStr">
        <is>
          <t>++ </t>
        </is>
      </c>
      <c r="F3238" s="2" t="inlineStr">
        <is>
          <t>++ </t>
        </is>
      </c>
      <c r="H3238" s="2">
        <v>1618</v>
      </c>
      <c r="I3238" s="2" t="inlineStr">
        <is>
          <t>$</t>
        </is>
      </c>
      <c r="J3238" s="2">
        <f>HYPERLINK("https://app.astro.lead-studio.pro/product/d1669eb9-7c3c-4bd7-b739-15f33be1fb98")</f>
      </c>
    </row>
    <row r="3239" spans="1:10" customHeight="0">
      <c r="A3239" s="2" t="inlineStr">
        <is>
          <t>Компьютеры</t>
        </is>
      </c>
      <c r="B3239" s="2" t="inlineStr">
        <is>
          <t>DELL</t>
        </is>
      </c>
      <c r="C3239" s="2" t="inlineStr">
        <is>
          <t>7730-7651</t>
        </is>
      </c>
      <c r="D3239" s="2" t="inlineStr">
        <is>
          <t>Моноблок Dell Inspiron 7730 27" Full HD Core 7 150U (1.8) 16Gb SSD1Tb MX570A 2Gb CR Windows 11 Professional GbitEth WiFi BT 130W клавиатура мышь Cam серебристый 1920x1080</t>
        </is>
      </c>
      <c r="E3239" s="2" t="inlineStr">
        <is>
          <t>+ </t>
        </is>
      </c>
      <c r="F3239" s="2" t="inlineStr">
        <is>
          <t>+ </t>
        </is>
      </c>
      <c r="H3239" s="2">
        <v>1988</v>
      </c>
      <c r="I3239" s="2" t="inlineStr">
        <is>
          <t>$</t>
        </is>
      </c>
      <c r="J3239" s="2">
        <f>HYPERLINK("https://app.astro.lead-studio.pro/product/2cae313e-e808-4b30-b531-8c729952ab68")</f>
      </c>
    </row>
    <row r="3240" spans="1:10" customHeight="0">
      <c r="A3240" s="2" t="inlineStr">
        <is>
          <t>Компьютеры</t>
        </is>
      </c>
      <c r="B3240" s="2" t="inlineStr">
        <is>
          <t>DELL</t>
        </is>
      </c>
      <c r="C3240" s="2" t="inlineStr">
        <is>
          <t>7730-7251</t>
        </is>
      </c>
      <c r="D3240" s="2" t="inlineStr">
        <is>
          <t>Моноблок Dell Inspiron 7730 27" Full HD Core 7 150U (1.8) 32Gb SSD1Tb MX570A 2Gb CR Windows 11 Professional GbitEth WiFi BT 130W клавиатура мышь Cam серебристый 1920x1080</t>
        </is>
      </c>
      <c r="E3240" s="2" t="inlineStr">
        <is>
          <t>+ </t>
        </is>
      </c>
      <c r="F3240" s="2" t="inlineStr">
        <is>
          <t>+ </t>
        </is>
      </c>
      <c r="H3240" s="2">
        <v>2146</v>
      </c>
      <c r="I3240" s="2" t="inlineStr">
        <is>
          <t>$</t>
        </is>
      </c>
      <c r="J3240" s="2">
        <f>HYPERLINK("https://app.astro.lead-studio.pro/product/5428356f-3c1b-4a10-b56a-fb23d82e3d6f")</f>
      </c>
    </row>
    <row r="3241" spans="1:10" customHeight="0">
      <c r="A3241" s="2" t="inlineStr">
        <is>
          <t>Компьютеры</t>
        </is>
      </c>
      <c r="B3241" s="2" t="inlineStr">
        <is>
          <t>DELL</t>
        </is>
      </c>
      <c r="C3241" s="2" t="inlineStr">
        <is>
          <t>7730-5621</t>
        </is>
      </c>
      <c r="D3241" s="2" t="inlineStr">
        <is>
          <t>Моноблок Dell Inspiron 7730 27" Full HD i5 1334U (1.3) 16Gb SSD512Gb Iris Xe CR Windows 11 Professional GbitEth WiFi BT 90W клавиатура мышь Cam серебристый 1920x1080</t>
        </is>
      </c>
      <c r="E3241" s="2" t="inlineStr">
        <is>
          <t>++ </t>
        </is>
      </c>
      <c r="F3241" s="2" t="inlineStr">
        <is>
          <t>++ </t>
        </is>
      </c>
      <c r="H3241" s="2">
        <v>1303</v>
      </c>
      <c r="I3241" s="2" t="inlineStr">
        <is>
          <t>$</t>
        </is>
      </c>
      <c r="J3241" s="2">
        <f>HYPERLINK("https://app.astro.lead-studio.pro/product/9e6e9f70-b99c-46b1-86ad-f12a529ebf7f")</f>
      </c>
    </row>
    <row r="3242" spans="1:10" customHeight="0">
      <c r="A3242" s="2" t="inlineStr">
        <is>
          <t>Компьютеры</t>
        </is>
      </c>
      <c r="B3242" s="2" t="inlineStr">
        <is>
          <t>DELL</t>
        </is>
      </c>
      <c r="C3242" s="2" t="inlineStr">
        <is>
          <t>7410-7651</t>
        </is>
      </c>
      <c r="D3242" s="2" t="inlineStr">
        <is>
          <t>Моноблок Dell Optiplex 7410 23.8" Full HD i7 13700 (2.1) 16Gb SSD512Gb UHDG 770 CR Windows 11 Pro GbitEth WiFi BT 160W клавиатура мышь Cam черный 1920x1080</t>
        </is>
      </c>
      <c r="E3242" s="2" t="inlineStr">
        <is>
          <t>+ </t>
        </is>
      </c>
      <c r="F3242" s="2" t="inlineStr">
        <is>
          <t>+ </t>
        </is>
      </c>
      <c r="H3242" s="2">
        <v>1598</v>
      </c>
      <c r="I3242" s="2" t="inlineStr">
        <is>
          <t>$</t>
        </is>
      </c>
      <c r="J3242" s="2">
        <f>HYPERLINK("https://app.astro.lead-studio.pro/product/d0e8c253-7d13-4d28-9420-d97d7c874fa4")</f>
      </c>
    </row>
    <row r="3243" spans="1:10" customHeight="0">
      <c r="A3243" s="2" t="inlineStr">
        <is>
          <t>Компьютеры</t>
        </is>
      </c>
      <c r="B3243" s="2" t="inlineStr">
        <is>
          <t>DELL</t>
        </is>
      </c>
      <c r="C3243" s="2" t="inlineStr">
        <is>
          <t>7410P-7650</t>
        </is>
      </c>
      <c r="D3243" s="2" t="inlineStr">
        <is>
          <t>Моноблок Dell Optiplex 7410 Plus 23.8" Full HD i7 13700 (2.1) 16Gb SSD512Gb UHDG 770 CR Linux Ubuntu GbitEth WiFi BT 240W клавиатура мышь Cam серебристый 1920x1080</t>
        </is>
      </c>
      <c r="E3243" s="2" t="inlineStr">
        <is>
          <t>+ </t>
        </is>
      </c>
      <c r="F3243" s="2" t="inlineStr">
        <is>
          <t>+ </t>
        </is>
      </c>
      <c r="H3243" s="2">
        <v>1546</v>
      </c>
      <c r="I3243" s="2" t="inlineStr">
        <is>
          <t>$</t>
        </is>
      </c>
      <c r="J3243" s="2">
        <f>HYPERLINK("https://app.astro.lead-studio.pro/product/a0fe8dd6-a14b-4e5b-b75c-df1e088c4168")</f>
      </c>
    </row>
    <row r="3244" spans="1:10" customHeight="0">
      <c r="A3244" s="2" t="inlineStr">
        <is>
          <t>Компьютеры</t>
        </is>
      </c>
      <c r="B3244" s="2" t="inlineStr">
        <is>
          <t>DELL</t>
        </is>
      </c>
      <c r="C3244" s="2" t="inlineStr">
        <is>
          <t>7420-5621</t>
        </is>
      </c>
      <c r="D3244" s="2" t="inlineStr">
        <is>
          <t>Моноблок Dell Optiplex 7420 23.8" Full HD i5 14500 (2.6) 16Gb SSD512Gb UHDG 770 CR Windows 11 Professional GbitEth WiFi BT 160W клавиатура мышь Cam черный 1920x1080</t>
        </is>
      </c>
      <c r="E3244" s="2" t="inlineStr">
        <is>
          <t>+ </t>
        </is>
      </c>
      <c r="F3244" s="2" t="inlineStr">
        <is>
          <t>+ </t>
        </is>
      </c>
      <c r="H3244" s="2">
        <v>1513</v>
      </c>
      <c r="I3244" s="2" t="inlineStr">
        <is>
          <t>$</t>
        </is>
      </c>
      <c r="J3244" s="2">
        <f>HYPERLINK("https://app.astro.lead-studio.pro/product/df68167f-8af3-44fb-9684-1074a98dec4e")</f>
      </c>
    </row>
    <row r="3245" spans="1:10" customHeight="0">
      <c r="A3245" s="2" t="inlineStr">
        <is>
          <t>Компьютеры</t>
        </is>
      </c>
      <c r="B3245" s="2" t="inlineStr">
        <is>
          <t>DELL</t>
        </is>
      </c>
      <c r="C3245" s="2" t="inlineStr">
        <is>
          <t>7420-5660</t>
        </is>
      </c>
      <c r="D3245" s="2" t="inlineStr">
        <is>
          <t>Моноблок Dell Optiplex 7420 23.8" Full HD i5 14500T (1.7) 16Gb SSD256Gb UHDG 770 CR Linux Ubuntu GbitEth WiFi BT 130W клавиатура мышь Cam черный 1920x1080</t>
        </is>
      </c>
      <c r="E3245" s="2" t="inlineStr">
        <is>
          <t>+ </t>
        </is>
      </c>
      <c r="F3245" s="2" t="inlineStr">
        <is>
          <t>+ </t>
        </is>
      </c>
      <c r="H3245" s="2">
        <v>1301</v>
      </c>
      <c r="I3245" s="2" t="inlineStr">
        <is>
          <t>$</t>
        </is>
      </c>
      <c r="J3245" s="2">
        <f>HYPERLINK("https://app.astro.lead-studio.pro/product/a9a45b05-6a00-4404-b921-c9860dbe3750")</f>
      </c>
    </row>
    <row r="3246" spans="1:10" customHeight="0">
      <c r="A3246" s="2" t="inlineStr">
        <is>
          <t>Компьютеры</t>
        </is>
      </c>
      <c r="B3246" s="2" t="inlineStr">
        <is>
          <t>DELL</t>
        </is>
      </c>
      <c r="C3246" s="2" t="inlineStr">
        <is>
          <t>7420-7620</t>
        </is>
      </c>
      <c r="D3246" s="2" t="inlineStr">
        <is>
          <t>Моноблок Dell Optiplex 7420 23.8" Full HD i7 14700 (2.1) 16Gb SSD512Gb UHDG 770 CR Linux Ubuntu GbitEth WiFi BT 160W клавиатура мышь Cam черный 1920x1080</t>
        </is>
      </c>
      <c r="E3246" s="2" t="inlineStr">
        <is>
          <t>+ </t>
        </is>
      </c>
      <c r="F3246" s="2" t="inlineStr">
        <is>
          <t>+ </t>
        </is>
      </c>
      <c r="H3246" s="2">
        <v>1563</v>
      </c>
      <c r="I3246" s="2" t="inlineStr">
        <is>
          <t>$</t>
        </is>
      </c>
      <c r="J3246" s="2">
        <f>HYPERLINK("https://app.astro.lead-studio.pro/product/34684cbe-9735-4f0e-9d30-040f3742d520")</f>
      </c>
    </row>
    <row r="3247" spans="1:10" customHeight="0">
      <c r="A3247" s="2" t="inlineStr">
        <is>
          <t>Компьютеры</t>
        </is>
      </c>
      <c r="B3247" s="2" t="inlineStr">
        <is>
          <t>DELL</t>
        </is>
      </c>
      <c r="C3247" s="2" t="inlineStr">
        <is>
          <t>7420-7621</t>
        </is>
      </c>
      <c r="D3247" s="2" t="inlineStr">
        <is>
          <t>Моноблок Dell Optiplex 7420 23.8" Full HD i7 14700 (2.1) 16Gb SSD512Gb UHDG 770 CR Windows 11 Professional GbitEth WiFi BT 160W клавиатура мышь Cam черный 1920x1080</t>
        </is>
      </c>
      <c r="E3247" s="2" t="inlineStr">
        <is>
          <t>+ </t>
        </is>
      </c>
      <c r="F3247" s="2" t="inlineStr">
        <is>
          <t>+ </t>
        </is>
      </c>
      <c r="H3247" s="2">
        <v>1746</v>
      </c>
      <c r="I3247" s="2" t="inlineStr">
        <is>
          <t>$</t>
        </is>
      </c>
      <c r="J3247" s="2">
        <f>HYPERLINK("https://app.astro.lead-studio.pro/product/669f0fe4-c200-4b51-bb52-b8c559f4cd9b")</f>
      </c>
    </row>
    <row r="3248" spans="1:10" customHeight="0">
      <c r="A3248" s="2" t="inlineStr">
        <is>
          <t>Компьютеры</t>
        </is>
      </c>
      <c r="B3248" s="2" t="inlineStr">
        <is>
          <t>DIGMA</t>
        </is>
      </c>
      <c r="C3248" s="2" t="inlineStr">
        <is>
          <t>DM21CN-8CXW01</t>
        </is>
      </c>
      <c r="D3248" s="2" t="inlineStr">
        <is>
          <t>Моноблок Digma Action 21.5" Full HD Cel N5095A (2) 8Gb SSD256Gb UHDG 600 CR Windows 11 Professional GbitEth WiFi BT 36W клавиатура мышь Cam черный 1920x1080</t>
        </is>
      </c>
      <c r="E3248" s="2" t="inlineStr">
        <is>
          <t>+ </t>
        </is>
      </c>
      <c r="F3248" s="2" t="inlineStr">
        <is>
          <t>+ </t>
        </is>
      </c>
      <c r="H3248" s="2">
        <v>324</v>
      </c>
      <c r="I3248" s="2" t="inlineStr">
        <is>
          <t>$</t>
        </is>
      </c>
      <c r="J3248" s="2">
        <f>HYPERLINK("https://app.astro.lead-studio.pro/product/0f890a72-cd8e-440f-a353-66f684cac258")</f>
      </c>
    </row>
    <row r="3249" spans="1:10" customHeight="0">
      <c r="A3249" s="2" t="inlineStr">
        <is>
          <t>Компьютеры</t>
        </is>
      </c>
      <c r="B3249" s="2" t="inlineStr">
        <is>
          <t>DIGMA</t>
        </is>
      </c>
      <c r="C3249" s="2" t="inlineStr">
        <is>
          <t>DM23CN-8CXW01</t>
        </is>
      </c>
      <c r="D3249" s="2" t="inlineStr">
        <is>
          <t>Моноблок Digma Optimum 23.8" Full HD Cel N5100 (1.1) 8Gb SSD256Gb UHDG CR Windows 11 Pro Eth WiFi BT 36W клавиатура мышь Cam черный 1920x1080</t>
        </is>
      </c>
      <c r="E3249" s="2" t="inlineStr">
        <is>
          <t>+ </t>
        </is>
      </c>
      <c r="F3249" s="2" t="inlineStr">
        <is>
          <t>+ </t>
        </is>
      </c>
      <c r="H3249" s="2">
        <v>355</v>
      </c>
      <c r="I3249" s="2" t="inlineStr">
        <is>
          <t>$</t>
        </is>
      </c>
      <c r="J3249" s="2">
        <f>HYPERLINK("https://app.astro.lead-studio.pro/product/ea5962c1-9d3b-4b8d-a45a-ee4da1f5b4ac")</f>
      </c>
    </row>
    <row r="3250" spans="1:10" customHeight="0">
      <c r="A3250" s="2" t="inlineStr">
        <is>
          <t>Компьютеры</t>
        </is>
      </c>
      <c r="B3250" s="2" t="inlineStr">
        <is>
          <t>DIGMA PRO</t>
        </is>
      </c>
      <c r="C3250" s="2" t="inlineStr">
        <is>
          <t>DM23P3-ADXW03</t>
        </is>
      </c>
      <c r="D3250" s="2" t="inlineStr">
        <is>
          <t>Моноблок Digma Pro Unity 23.8" Full HD i3 12100 (3.3) 16Gb SSD512Gb UHDG CR Windows 11 Pro GbitEth WiFi BT 90W клавиатура мышь Cam серый/черный 1920x1080</t>
        </is>
      </c>
      <c r="E3250" s="2" t="inlineStr">
        <is>
          <t>+++ </t>
        </is>
      </c>
      <c r="F3250" s="2" t="inlineStr">
        <is>
          <t>+++ </t>
        </is>
      </c>
      <c r="H3250" s="2">
        <v>704</v>
      </c>
      <c r="I3250" s="2" t="inlineStr">
        <is>
          <t>$</t>
        </is>
      </c>
      <c r="J3250" s="2">
        <f>HYPERLINK("https://app.astro.lead-studio.pro/product/1ee79110-9504-44b8-b68a-1ad3b9d4886f")</f>
      </c>
    </row>
    <row r="3251" spans="1:10" customHeight="0">
      <c r="A3251" s="2" t="inlineStr">
        <is>
          <t>Компьютеры</t>
        </is>
      </c>
      <c r="B3251" s="2" t="inlineStr">
        <is>
          <t>DIGMA PRO</t>
        </is>
      </c>
      <c r="C3251" s="2" t="inlineStr">
        <is>
          <t>DM23P5-ADXW03</t>
        </is>
      </c>
      <c r="D3251" s="2" t="inlineStr">
        <is>
          <t>Моноблок Digma Pro Unity 23.8" Full HD i5 12400 (2.5) 16Gb SSD512Gb UHDG 730 CR Windows 11 Professional GbitEth WiFi BT 90W клавиатура мышь Cam серый/черный 1920x1080</t>
        </is>
      </c>
      <c r="E3251" s="2" t="inlineStr">
        <is>
          <t>+++ </t>
        </is>
      </c>
      <c r="F3251" s="2" t="inlineStr">
        <is>
          <t>+++ </t>
        </is>
      </c>
      <c r="H3251" s="2">
        <v>724</v>
      </c>
      <c r="I3251" s="2" t="inlineStr">
        <is>
          <t>$</t>
        </is>
      </c>
      <c r="J3251" s="2">
        <f>HYPERLINK("https://app.astro.lead-studio.pro/product/838129ae-aa32-4ad5-96c3-e95f92223f99")</f>
      </c>
    </row>
    <row r="3252" spans="1:10" customHeight="0">
      <c r="A3252" s="2" t="inlineStr">
        <is>
          <t>Компьютеры</t>
        </is>
      </c>
      <c r="B3252" s="2" t="inlineStr">
        <is>
          <t>DIGMA PRO</t>
        </is>
      </c>
      <c r="C3252" s="2" t="inlineStr">
        <is>
          <t>DM23P7-ADXW02</t>
        </is>
      </c>
      <c r="D3252" s="2" t="inlineStr">
        <is>
          <t>Моноблок Digma Pro Unity 23.8" Full HD i7 1255U (1.7) 16Gb SSD512Gb Iris Xe Windows 11 Pro GbitEth WiFi BT 90W клавиатура мышь Cam серый 1920x1080</t>
        </is>
      </c>
      <c r="E3252" s="2" t="inlineStr">
        <is>
          <t>+++ </t>
        </is>
      </c>
      <c r="F3252" s="2" t="inlineStr">
        <is>
          <t>+++ </t>
        </is>
      </c>
      <c r="H3252" s="2">
        <v>807</v>
      </c>
      <c r="I3252" s="2" t="inlineStr">
        <is>
          <t>$</t>
        </is>
      </c>
      <c r="J3252" s="2">
        <f>HYPERLINK("https://app.astro.lead-studio.pro/product/7976a1e2-5a92-4dfd-864f-cdecb7261e8a")</f>
      </c>
    </row>
    <row r="3253" spans="1:10" customHeight="0">
      <c r="A3253" s="2" t="inlineStr">
        <is>
          <t>Компьютеры</t>
        </is>
      </c>
      <c r="B3253" s="2" t="inlineStr">
        <is>
          <t>DIGMA PRO</t>
        </is>
      </c>
      <c r="C3253" s="2" t="inlineStr">
        <is>
          <t>DM23P7-ADXW03</t>
        </is>
      </c>
      <c r="D3253" s="2" t="inlineStr">
        <is>
          <t>Моноблок Digma Pro Unity 23.8" Full HD i7 12700 (2.1) 16Gb SSD512Gb UHDG CR Windows 11 Professional GbitEth WiFi BT 90W клавиатура мышь Cam серый/черный 1920x1080</t>
        </is>
      </c>
      <c r="E3253" s="2" t="inlineStr">
        <is>
          <t>+++ </t>
        </is>
      </c>
      <c r="F3253" s="2" t="inlineStr">
        <is>
          <t>+++ </t>
        </is>
      </c>
      <c r="H3253" s="2">
        <v>889</v>
      </c>
      <c r="I3253" s="2" t="inlineStr">
        <is>
          <t>$</t>
        </is>
      </c>
      <c r="J3253" s="2">
        <f>HYPERLINK("https://app.astro.lead-studio.pro/product/130a7bd5-5e32-4009-bf98-d4564387120c")</f>
      </c>
    </row>
    <row r="3254" spans="1:10" customHeight="0">
      <c r="A3254" s="2" t="inlineStr">
        <is>
          <t>Компьютеры</t>
        </is>
      </c>
      <c r="B3254" s="2" t="inlineStr">
        <is>
          <t>DIGMA PRO</t>
        </is>
      </c>
      <c r="C3254" s="2" t="inlineStr">
        <is>
          <t>DM27P5-ADXW04</t>
        </is>
      </c>
      <c r="D3254" s="2" t="inlineStr">
        <is>
          <t>Моноблок Digma Pro Unity 27" Full HD i5 12400 (2.5) 16Gb SSD512Gb UHDG CR Windows 11 Professional GbitEth WiFi BT 90W клавиатура мышь Cam серый/черный 1920x1080</t>
        </is>
      </c>
      <c r="E3254" s="2" t="inlineStr">
        <is>
          <t>+++ </t>
        </is>
      </c>
      <c r="F3254" s="2" t="inlineStr">
        <is>
          <t>+++ </t>
        </is>
      </c>
      <c r="H3254" s="2">
        <v>767</v>
      </c>
      <c r="I3254" s="2" t="inlineStr">
        <is>
          <t>$</t>
        </is>
      </c>
      <c r="J3254" s="2">
        <f>HYPERLINK("https://app.astro.lead-studio.pro/product/0da1a467-b902-4f3b-9d29-000f509864c4")</f>
      </c>
    </row>
    <row r="3255" spans="1:10" customHeight="0">
      <c r="A3255" s="2" t="inlineStr">
        <is>
          <t>Компьютеры</t>
        </is>
      </c>
      <c r="B3255" s="2" t="inlineStr">
        <is>
          <t>DIGMA PRO</t>
        </is>
      </c>
      <c r="C3255" s="2" t="inlineStr">
        <is>
          <t>DM27P7-ADXW06</t>
        </is>
      </c>
      <c r="D3255" s="2" t="inlineStr">
        <is>
          <t>Моноблок Digma Pro Unity 27" Full HD i7 12700 (2.1) 16Gb SSD512Gb UHDG 770 CR Windows 11 Professional GbitEth WiFi BT 90W клавиатура мышь Cam серый/черный 1920x1080</t>
        </is>
      </c>
      <c r="E3255" s="2" t="inlineStr">
        <is>
          <t>+++ </t>
        </is>
      </c>
      <c r="F3255" s="2" t="inlineStr">
        <is>
          <t>+++ </t>
        </is>
      </c>
      <c r="H3255" s="2">
        <v>970</v>
      </c>
      <c r="I3255" s="2" t="inlineStr">
        <is>
          <t>$</t>
        </is>
      </c>
      <c r="J3255" s="2">
        <f>HYPERLINK("https://app.astro.lead-studio.pro/product/edb192ba-ff86-4cd1-ad4a-4870ee88744a")</f>
      </c>
    </row>
    <row r="3256" spans="1:10" customHeight="0">
      <c r="A3256" s="2" t="inlineStr">
        <is>
          <t>Компьютеры</t>
        </is>
      </c>
      <c r="B3256" s="2" t="inlineStr">
        <is>
          <t>DIGMA PRO</t>
        </is>
      </c>
      <c r="C3256" s="2" t="inlineStr">
        <is>
          <t>DM27P7-ADXW05</t>
        </is>
      </c>
      <c r="D3256" s="2" t="inlineStr">
        <is>
          <t>Моноблок Digma Pro Unity 27" Full HD i7 1355U (1.7) 16Gb SSD512Gb Iris Xe CR Windows 11 Professional GbitEth WiFi BT 90W клавиатура мышь Cam серый 1920x1080</t>
        </is>
      </c>
      <c r="E3256" s="2" t="inlineStr">
        <is>
          <t>++ </t>
        </is>
      </c>
      <c r="F3256" s="2" t="inlineStr">
        <is>
          <t>++ </t>
        </is>
      </c>
      <c r="H3256" s="2">
        <v>933</v>
      </c>
      <c r="I3256" s="2" t="inlineStr">
        <is>
          <t>$</t>
        </is>
      </c>
      <c r="J3256" s="2">
        <f>HYPERLINK("https://app.astro.lead-studio.pro/product/99e6e47e-2588-4e15-94ea-e662867162db")</f>
      </c>
    </row>
    <row r="3257" spans="1:10" customHeight="0">
      <c r="A3257" s="2" t="inlineStr">
        <is>
          <t>Компьютеры</t>
        </is>
      </c>
      <c r="B3257" s="2" t="inlineStr">
        <is>
          <t>DIGMA PRO</t>
        </is>
      </c>
      <c r="C3257" s="2" t="inlineStr">
        <is>
          <t>DM23R7-ADXW01</t>
        </is>
      </c>
      <c r="D3257" s="2" t="inlineStr">
        <is>
          <t>Моноблок Digma Pro Vision 23.8" Full HD Ryzen 7 5700U (1.8) 16Gb SSD512Gb RGr CR Windows 11 Pro Eth WiFi BT 90W клавиатура мышь Cam черный 1920x1080</t>
        </is>
      </c>
      <c r="E3257" s="2" t="inlineStr">
        <is>
          <t>+ </t>
        </is>
      </c>
      <c r="F3257" s="2" t="inlineStr">
        <is>
          <t>+ </t>
        </is>
      </c>
      <c r="H3257" s="2">
        <v>648</v>
      </c>
      <c r="I3257" s="2" t="inlineStr">
        <is>
          <t>$</t>
        </is>
      </c>
      <c r="J3257" s="2">
        <f>HYPERLINK("https://app.astro.lead-studio.pro/product/da6d3b36-0b2f-4554-8486-d03dc757247e")</f>
      </c>
    </row>
    <row r="3258" spans="1:10" customHeight="0">
      <c r="A3258" s="2" t="inlineStr">
        <is>
          <t>Компьютеры</t>
        </is>
      </c>
      <c r="B3258" s="2" t="inlineStr">
        <is>
          <t>DIGMA PRO</t>
        </is>
      </c>
      <c r="C3258" s="2" t="inlineStr">
        <is>
          <t>DM23R7-8CXW01</t>
        </is>
      </c>
      <c r="D3258" s="2" t="inlineStr">
        <is>
          <t>Моноблок Digma Pro Vision 23.8" Full HD Ryzen 7 5700U (1.8) 8Gb SSD256Gb RGr CR Windows 11 Pro Eth WiFi BT 90W клавиатура мышь Cam черный 1920x1080</t>
        </is>
      </c>
      <c r="E3258" s="2" t="inlineStr">
        <is>
          <t>+ </t>
        </is>
      </c>
      <c r="F3258" s="2" t="inlineStr">
        <is>
          <t>+ </t>
        </is>
      </c>
      <c r="H3258" s="2">
        <v>588</v>
      </c>
      <c r="I3258" s="2" t="inlineStr">
        <is>
          <t>$</t>
        </is>
      </c>
      <c r="J3258" s="2">
        <f>HYPERLINK("https://app.astro.lead-studio.pro/product/131c22a8-4ffd-4563-be78-c5db7e18af6e")</f>
      </c>
    </row>
    <row r="3259" spans="1:10" customHeight="0">
      <c r="A3259" s="2" t="inlineStr">
        <is>
          <t>Компьютеры</t>
        </is>
      </c>
      <c r="B3259" s="2" t="inlineStr">
        <is>
          <t>HP</t>
        </is>
      </c>
      <c r="C3259" s="2" t="inlineStr">
        <is>
          <t>6D417EA</t>
        </is>
      </c>
      <c r="D3259" s="2" t="inlineStr">
        <is>
          <t>Моноблок HP 200 G4 21.5" Full HD i5 1235U (1.3) 8Gb SSD512Gb Iris Xe DVDRW CR Free DOS GbitEth WiFi BT 65W клавиатура мышь Cam белый 1920x1080</t>
        </is>
      </c>
      <c r="E3259" s="2" t="inlineStr">
        <is>
          <t>+++ </t>
        </is>
      </c>
      <c r="F3259" s="2" t="inlineStr">
        <is>
          <t>+++ </t>
        </is>
      </c>
      <c r="H3259" s="2">
        <v>724</v>
      </c>
      <c r="I3259" s="2" t="inlineStr">
        <is>
          <t>$</t>
        </is>
      </c>
      <c r="J3259" s="2">
        <f>HYPERLINK("https://app.astro.lead-studio.pro/product/7546e5e5-37af-4f0b-89ae-420ccbe1340a")</f>
      </c>
    </row>
    <row r="3260" spans="1:10" customHeight="0">
      <c r="A3260" s="2" t="inlineStr">
        <is>
          <t>Компьютеры</t>
        </is>
      </c>
      <c r="B3260" s="2" t="inlineStr">
        <is>
          <t>HP</t>
        </is>
      </c>
      <c r="C3260" s="2" t="inlineStr">
        <is>
          <t>6D418EA</t>
        </is>
      </c>
      <c r="D3260" s="2" t="inlineStr">
        <is>
          <t>Моноблок HP 200 G4 21.5" Full HD i5 1235U (1.3) 8Gb SSD512Gb Iris Xe DVDRW CR Free DOS GbitEth WiFi BT 65W клавиатура мышь Cam черный 1920x1080</t>
        </is>
      </c>
      <c r="E3260" s="2" t="inlineStr">
        <is>
          <t>+++ </t>
        </is>
      </c>
      <c r="F3260" s="2" t="inlineStr">
        <is>
          <t>+++ </t>
        </is>
      </c>
      <c r="H3260" s="2">
        <v>712</v>
      </c>
      <c r="I3260" s="2" t="inlineStr">
        <is>
          <t>$</t>
        </is>
      </c>
      <c r="J3260" s="2">
        <f>HYPERLINK("https://app.astro.lead-studio.pro/product/8ec66670-d690-4066-8200-87a527f2073c")</f>
      </c>
    </row>
    <row r="3261" spans="1:10" customHeight="0">
      <c r="A3261" s="2" t="inlineStr">
        <is>
          <t>Компьютеры</t>
        </is>
      </c>
      <c r="B3261" s="2" t="inlineStr">
        <is>
          <t>HP</t>
        </is>
      </c>
      <c r="C3261" s="2" t="inlineStr">
        <is>
          <t>AV8K9PA</t>
        </is>
      </c>
      <c r="D3261" s="2" t="inlineStr">
        <is>
          <t>Моноблок HP 24-cr0008l 23.8" Full HD Touch i7 1355U (1.7) 16Gb SSD512Gb Iris Xe Free DOS GbitEth WiFi BT 90W клавиатура мышь Cam белый 1920x1080</t>
        </is>
      </c>
      <c r="E3261" s="2" t="inlineStr">
        <is>
          <t>+ </t>
        </is>
      </c>
      <c r="F3261" s="2" t="inlineStr">
        <is>
          <t>+ </t>
        </is>
      </c>
      <c r="H3261" s="2">
        <v>1335</v>
      </c>
      <c r="I3261" s="2" t="inlineStr">
        <is>
          <t>$</t>
        </is>
      </c>
      <c r="J3261" s="2">
        <f>HYPERLINK("https://app.astro.lead-studio.pro/product/ca07c7e6-89fa-453b-bc02-24613d362c8b")</f>
      </c>
    </row>
    <row r="3262" spans="1:10" customHeight="0">
      <c r="A3262" s="2" t="inlineStr">
        <is>
          <t>Компьютеры</t>
        </is>
      </c>
      <c r="B3262" s="2" t="inlineStr">
        <is>
          <t>HP</t>
        </is>
      </c>
      <c r="C3262" s="2" t="inlineStr">
        <is>
          <t>AV8L0PA</t>
        </is>
      </c>
      <c r="D3262" s="2" t="inlineStr">
        <is>
          <t>Моноблок HP 24-cr0009l 23.8" Full HD i7 1355U (1.7) 16Gb SSD512Gb Iris Xe Free DOS GbitEth WiFi BT 90W клавиатура мышь Cam белый 1920x1080</t>
        </is>
      </c>
      <c r="E3262" s="2" t="inlineStr">
        <is>
          <t>+ </t>
        </is>
      </c>
      <c r="F3262" s="2" t="inlineStr">
        <is>
          <t>+ </t>
        </is>
      </c>
      <c r="H3262" s="2">
        <v>1133</v>
      </c>
      <c r="I3262" s="2" t="inlineStr">
        <is>
          <t>$</t>
        </is>
      </c>
      <c r="J3262" s="2">
        <f>HYPERLINK("https://app.astro.lead-studio.pro/product/fb896473-78c0-4fa7-ac1b-8f146e4d3936")</f>
      </c>
    </row>
    <row r="3263" spans="1:10" customHeight="0">
      <c r="A3263" s="2" t="inlineStr">
        <is>
          <t>Компьютеры</t>
        </is>
      </c>
      <c r="B3263" s="2" t="inlineStr">
        <is>
          <t>HP</t>
        </is>
      </c>
      <c r="C3263" s="2" t="inlineStr">
        <is>
          <t>B17BJPA</t>
        </is>
      </c>
      <c r="D3263" s="2" t="inlineStr">
        <is>
          <t>Моноблок HP 24-cr0012i 23.8" Full HD i3 N300 (0.8) 8Gb SSD512Gb UHDG Free DOS GbitEth WiFi BT 65W клавиатура мышь Cam белый 1920x1080</t>
        </is>
      </c>
      <c r="E3263" s="2" t="inlineStr">
        <is>
          <t>+ </t>
        </is>
      </c>
      <c r="F3263" s="2" t="inlineStr">
        <is>
          <t>+ </t>
        </is>
      </c>
      <c r="H3263" s="2">
        <v>771</v>
      </c>
      <c r="I3263" s="2" t="inlineStr">
        <is>
          <t>$</t>
        </is>
      </c>
      <c r="J3263" s="2">
        <f>HYPERLINK("https://app.astro.lead-studio.pro/product/fd27dd6e-9fff-4088-86de-388f269d3f43")</f>
      </c>
    </row>
    <row r="3264" spans="1:10" customHeight="0">
      <c r="A3264" s="2" t="inlineStr">
        <is>
          <t>Компьютеры</t>
        </is>
      </c>
      <c r="B3264" s="2" t="inlineStr">
        <is>
          <t>HP</t>
        </is>
      </c>
      <c r="C3264" s="2" t="inlineStr">
        <is>
          <t>9A158PA</t>
        </is>
      </c>
      <c r="D3264" s="2" t="inlineStr">
        <is>
          <t>Моноблок HP 27-cr0001i 27" Full HD i7 1355U (1.7) 16Gb SSD512Gb Iris Xe Free DOS GbitEth WiFi BT 90W клавиатура мышь Cam белый 1920x1080</t>
        </is>
      </c>
      <c r="E3264" s="2" t="inlineStr">
        <is>
          <t>+ </t>
        </is>
      </c>
      <c r="F3264" s="2" t="inlineStr">
        <is>
          <t>+ </t>
        </is>
      </c>
      <c r="H3264" s="2">
        <v>1394</v>
      </c>
      <c r="I3264" s="2" t="inlineStr">
        <is>
          <t>$</t>
        </is>
      </c>
      <c r="J3264" s="2">
        <f>HYPERLINK("https://app.astro.lead-studio.pro/product/303a8652-dd3f-45cf-a812-2e7395197cfe")</f>
      </c>
    </row>
    <row r="3265" spans="1:10" customHeight="0">
      <c r="A3265" s="2" t="inlineStr">
        <is>
          <t>Компьютеры</t>
        </is>
      </c>
      <c r="B3265" s="2" t="inlineStr">
        <is>
          <t>HP</t>
        </is>
      </c>
      <c r="C3265" s="2" t="inlineStr">
        <is>
          <t>9D3F5PA</t>
        </is>
      </c>
      <c r="D3265" s="2" t="inlineStr">
        <is>
          <t>Моноблок HP 27-cr0002i 27" Full HD Touch i7 1355U (1.7) 16Gb SSD512Gb Iris Xe Free DOS GbitEth WiFi BT 90W клавиатура мышь Cam белый 1920x1080</t>
        </is>
      </c>
      <c r="E3265" s="2" t="inlineStr">
        <is>
          <t>+ </t>
        </is>
      </c>
      <c r="F3265" s="2" t="inlineStr">
        <is>
          <t>+ </t>
        </is>
      </c>
      <c r="H3265" s="2">
        <v>1578</v>
      </c>
      <c r="I3265" s="2" t="inlineStr">
        <is>
          <t>$</t>
        </is>
      </c>
      <c r="J3265" s="2">
        <f>HYPERLINK("https://app.astro.lead-studio.pro/product/3a813410-7dbb-4255-bcbb-c854240bf484")</f>
      </c>
    </row>
    <row r="3266" spans="1:10" customHeight="0">
      <c r="A3266" s="2" t="inlineStr">
        <is>
          <t>Компьютеры</t>
        </is>
      </c>
      <c r="B3266" s="2" t="inlineStr">
        <is>
          <t>HP</t>
        </is>
      </c>
      <c r="C3266" s="2" t="inlineStr">
        <is>
          <t>935X4EA</t>
        </is>
      </c>
      <c r="D3266" s="2" t="inlineStr">
        <is>
          <t>Моноблок HP ProOne 240 G10 23.8" Full HD i5 1335U (1.3) 8Gb SSD512Gb UHDG FreeDOS GbitEth WiFi BT 90W клавиатура мышь Cam черный 1920x1080</t>
        </is>
      </c>
      <c r="E3266" s="2" t="inlineStr">
        <is>
          <t>+ </t>
        </is>
      </c>
      <c r="F3266" s="2" t="inlineStr">
        <is>
          <t>+ </t>
        </is>
      </c>
      <c r="H3266" s="2">
        <v>858</v>
      </c>
      <c r="I3266" s="2" t="inlineStr">
        <is>
          <t>$</t>
        </is>
      </c>
      <c r="J3266" s="2">
        <f>HYPERLINK("https://app.astro.lead-studio.pro/product/06030595-6df7-4de8-a7d0-366fc7693a5d")</f>
      </c>
    </row>
    <row r="3267" spans="1:10" customHeight="0">
      <c r="A3267" s="2" t="inlineStr">
        <is>
          <t>Компьютеры</t>
        </is>
      </c>
      <c r="B3267" s="2" t="inlineStr">
        <is>
          <t>HP</t>
        </is>
      </c>
      <c r="C3267" s="2" t="inlineStr">
        <is>
          <t>884R5EA</t>
        </is>
      </c>
      <c r="D3267" s="2" t="inlineStr">
        <is>
          <t>Моноблок HP ProOne 440 G9 23.8" Full HD i7 13700T (1.4) 8Gb SSD512Gb UHDG 770 Free DOS GbitEth WiFi BT 120W клавиатура мышь Cam черный/серебристый 1920x1080</t>
        </is>
      </c>
      <c r="E3267" s="2" t="inlineStr">
        <is>
          <t>++ </t>
        </is>
      </c>
      <c r="F3267" s="2" t="inlineStr">
        <is>
          <t>++ </t>
        </is>
      </c>
      <c r="H3267" s="2">
        <v>1097</v>
      </c>
      <c r="I3267" s="2" t="inlineStr">
        <is>
          <t>$</t>
        </is>
      </c>
      <c r="J3267" s="2">
        <f>HYPERLINK("https://app.astro.lead-studio.pro/product/7ab47d85-e082-470d-8b99-861d5a9a06cf")</f>
      </c>
    </row>
    <row r="3268" spans="1:10" customHeight="0">
      <c r="A3268" s="2" t="inlineStr">
        <is>
          <t>Компьютеры</t>
        </is>
      </c>
      <c r="B3268" s="2" t="inlineStr">
        <is>
          <t>IRU</t>
        </is>
      </c>
      <c r="C3268" s="2" t="inlineStr">
        <is>
          <t>2030224</t>
        </is>
      </c>
      <c r="D3268" s="2" t="inlineStr">
        <is>
          <t>Моноблок IRU 23AM 23.8" Full HD Ryzen 5 5675U (2.1) 8Gb SSD256Gb RGr CR Windows 11 Pro GbitEth WiFi BT 90W Cam черный 1920x1080</t>
        </is>
      </c>
      <c r="E3268" s="2" t="inlineStr">
        <is>
          <t>+ </t>
        </is>
      </c>
      <c r="F3268" s="2" t="inlineStr">
        <is>
          <t>+ </t>
        </is>
      </c>
      <c r="H3268" s="2">
        <v>520</v>
      </c>
      <c r="I3268" s="2" t="inlineStr">
        <is>
          <t>$</t>
        </is>
      </c>
      <c r="J3268" s="2">
        <f>HYPERLINK("https://app.astro.lead-studio.pro/product/4eb23ee9-4ebf-49d6-9888-c043d122dd01")</f>
      </c>
    </row>
    <row r="3269" spans="1:10" customHeight="0">
      <c r="A3269" s="2" t="inlineStr">
        <is>
          <t>Компьютеры</t>
        </is>
      </c>
      <c r="B3269" s="2" t="inlineStr">
        <is>
          <t>IRU</t>
        </is>
      </c>
      <c r="C3269" s="2" t="inlineStr">
        <is>
          <t>1994778</t>
        </is>
      </c>
      <c r="D3269" s="2" t="inlineStr">
        <is>
          <t>Моноблок IRU 23ID 23.8" Full HD i3 12100 (3.3) 8Gb SSD256Gb UHDG 730 CR Windows 11 Pro GbitEth WiFi BT 90W Cam черный 1920x1080</t>
        </is>
      </c>
      <c r="E3269" s="2" t="inlineStr">
        <is>
          <t>++ </t>
        </is>
      </c>
      <c r="F3269" s="2" t="inlineStr">
        <is>
          <t>++ </t>
        </is>
      </c>
      <c r="H3269" s="2">
        <v>535</v>
      </c>
      <c r="I3269" s="2" t="inlineStr">
        <is>
          <t>$</t>
        </is>
      </c>
      <c r="J3269" s="2">
        <f>HYPERLINK("https://app.astro.lead-studio.pro/product/e5b9c18a-6b68-4171-beba-e30397289a85")</f>
      </c>
    </row>
    <row r="3270" spans="1:10" customHeight="0">
      <c r="A3270" s="2" t="inlineStr">
        <is>
          <t>Компьютеры</t>
        </is>
      </c>
      <c r="B3270" s="2" t="inlineStr">
        <is>
          <t>IRU</t>
        </is>
      </c>
      <c r="C3270" s="2" t="inlineStr">
        <is>
          <t>1994779</t>
        </is>
      </c>
      <c r="D3270" s="2" t="inlineStr">
        <is>
          <t>Моноблок IRU 23ID 23.8" Full HD i5 12400 (2.5) 16Gb SSD512Gb UHDG 730 CR Windows 11 Pro GbitEth WiFi BT 120W Cam черный 1920x1080</t>
        </is>
      </c>
      <c r="E3270" s="2" t="inlineStr">
        <is>
          <t>+ </t>
        </is>
      </c>
      <c r="F3270" s="2" t="inlineStr">
        <is>
          <t>+ </t>
        </is>
      </c>
      <c r="H3270" s="2">
        <v>682</v>
      </c>
      <c r="I3270" s="2" t="inlineStr">
        <is>
          <t>$</t>
        </is>
      </c>
      <c r="J3270" s="2">
        <f>HYPERLINK("https://app.astro.lead-studio.pro/product/0677f3df-e5d2-4a5a-a390-c08380b257ca")</f>
      </c>
    </row>
    <row r="3271" spans="1:10" customHeight="0">
      <c r="A3271" s="2" t="inlineStr">
        <is>
          <t>Компьютеры</t>
        </is>
      </c>
      <c r="B3271" s="2" t="inlineStr">
        <is>
          <t>IRU</t>
        </is>
      </c>
      <c r="C3271" s="2" t="inlineStr">
        <is>
          <t>1994781</t>
        </is>
      </c>
      <c r="D3271" s="2" t="inlineStr">
        <is>
          <t>Моноблок IRU 23ID 23.8" Full HD i5 12400 (2.5) 16Gb SSD512Gb UHDG 730 CR без ОС GbitEth WiFi BT 90W Cam черный 1920x1080</t>
        </is>
      </c>
      <c r="E3271" s="2" t="inlineStr">
        <is>
          <t>+ </t>
        </is>
      </c>
      <c r="F3271" s="2" t="inlineStr">
        <is>
          <t>+ </t>
        </is>
      </c>
      <c r="H3271" s="2">
        <v>632</v>
      </c>
      <c r="I3271" s="2" t="inlineStr">
        <is>
          <t>$</t>
        </is>
      </c>
      <c r="J3271" s="2">
        <f>HYPERLINK("https://app.astro.lead-studio.pro/product/a72696da-4e38-4406-a6ac-8abd862a44fd")</f>
      </c>
    </row>
    <row r="3272" spans="1:10" customHeight="0">
      <c r="A3272" s="2" t="inlineStr">
        <is>
          <t>Компьютеры</t>
        </is>
      </c>
      <c r="B3272" s="2" t="inlineStr">
        <is>
          <t>IRU</t>
        </is>
      </c>
      <c r="C3272" s="2" t="inlineStr">
        <is>
          <t>1994784</t>
        </is>
      </c>
      <c r="D3272" s="2" t="inlineStr">
        <is>
          <t>Моноблок IRU 23ID 23.8" Full HD i7 1255U (1.7) 16Gb SSD512Gb CR Windows 11 Pro GbitEth WiFi BT 120W Cam черный 1920x1080</t>
        </is>
      </c>
      <c r="E3272" s="2" t="inlineStr">
        <is>
          <t>+ </t>
        </is>
      </c>
      <c r="F3272" s="2" t="inlineStr">
        <is>
          <t>+ </t>
        </is>
      </c>
      <c r="H3272" s="2">
        <v>709</v>
      </c>
      <c r="I3272" s="2" t="inlineStr">
        <is>
          <t>$</t>
        </is>
      </c>
      <c r="J3272" s="2">
        <f>HYPERLINK("https://app.astro.lead-studio.pro/product/b62ae3d4-3f86-4a26-9710-dcafed5a50ba")</f>
      </c>
    </row>
    <row r="3273" spans="1:10" customHeight="0">
      <c r="A3273" s="2" t="inlineStr">
        <is>
          <t>Компьютеры</t>
        </is>
      </c>
      <c r="B3273" s="2" t="inlineStr">
        <is>
          <t>IRU</t>
        </is>
      </c>
      <c r="C3273" s="2" t="inlineStr">
        <is>
          <t>1994783</t>
        </is>
      </c>
      <c r="D3273" s="2" t="inlineStr">
        <is>
          <t>Моноблок IRU 23ID 23.8" Full HD i7 1255U (1.7) 16Gb SSD512Gb UHDG CR без ОС GbitEth WiFi BT 120W Cam черный 1920x1080</t>
        </is>
      </c>
      <c r="E3273" s="2" t="inlineStr">
        <is>
          <t>++ </t>
        </is>
      </c>
      <c r="F3273" s="2" t="inlineStr">
        <is>
          <t>++ </t>
        </is>
      </c>
      <c r="H3273" s="2">
        <v>670</v>
      </c>
      <c r="I3273" s="2" t="inlineStr">
        <is>
          <t>$</t>
        </is>
      </c>
      <c r="J3273" s="2">
        <f>HYPERLINK("https://app.astro.lead-studio.pro/product/d1ada981-1339-442c-80d9-91ed49ae7394")</f>
      </c>
    </row>
    <row r="3274" spans="1:10" customHeight="0">
      <c r="A3274" s="2" t="inlineStr">
        <is>
          <t>Компьютеры</t>
        </is>
      </c>
      <c r="B3274" s="2" t="inlineStr">
        <is>
          <t>IRU</t>
        </is>
      </c>
      <c r="C3274" s="2" t="inlineStr">
        <is>
          <t>1972061</t>
        </is>
      </c>
      <c r="D3274" s="2" t="inlineStr">
        <is>
          <t>Моноблок IRU 23IM 23.8" Full HD i3 1215U (1.2) 8Gb SSD256Gb UHDG Windows 11 Professional GbitEth WiFi BT 120W Cam черный 1920x1080</t>
        </is>
      </c>
      <c r="E3274" s="2" t="inlineStr">
        <is>
          <t>+ </t>
        </is>
      </c>
      <c r="F3274" s="2" t="inlineStr">
        <is>
          <t>+ </t>
        </is>
      </c>
      <c r="H3274" s="2">
        <v>505</v>
      </c>
      <c r="I3274" s="2" t="inlineStr">
        <is>
          <t>$</t>
        </is>
      </c>
      <c r="J3274" s="2">
        <f>HYPERLINK("https://app.astro.lead-studio.pro/product/94f9a583-95d6-4205-be6f-3485c431078d")</f>
      </c>
    </row>
    <row r="3275" spans="1:10" customHeight="0">
      <c r="A3275" s="2" t="inlineStr">
        <is>
          <t>Компьютеры</t>
        </is>
      </c>
      <c r="B3275" s="2" t="inlineStr">
        <is>
          <t>IRU</t>
        </is>
      </c>
      <c r="C3275" s="2" t="inlineStr">
        <is>
          <t>1994786</t>
        </is>
      </c>
      <c r="D3275" s="2" t="inlineStr">
        <is>
          <t>Моноблок IRU 23IM 23.8" Full HD i5 12450H (2) 16Gb SSD512Gb UHDG 730 noOS GbitEth WiFi BT 90W Cam черный 1920x1080</t>
        </is>
      </c>
      <c r="E3275" s="2" t="inlineStr">
        <is>
          <t>+ </t>
        </is>
      </c>
      <c r="F3275" s="2" t="inlineStr">
        <is>
          <t>+ </t>
        </is>
      </c>
      <c r="H3275" s="2">
        <v>603</v>
      </c>
      <c r="I3275" s="2" t="inlineStr">
        <is>
          <t>$</t>
        </is>
      </c>
      <c r="J3275" s="2">
        <f>HYPERLINK("https://app.astro.lead-studio.pro/product/40609697-f780-4958-ac9f-30cfb25c083a")</f>
      </c>
    </row>
    <row r="3276" spans="1:10" customHeight="0">
      <c r="A3276" s="2" t="inlineStr">
        <is>
          <t>Компьютеры</t>
        </is>
      </c>
      <c r="B3276" s="2" t="inlineStr">
        <is>
          <t>IRU</t>
        </is>
      </c>
      <c r="C3276" s="2" t="inlineStr">
        <is>
          <t>1994785</t>
        </is>
      </c>
      <c r="D3276" s="2" t="inlineStr">
        <is>
          <t>Моноблок IRU 23IM 23.8" Full HD i5 12450H (2) 16Gb SSD512Gb UHDG Windows 11 Professional GbitEth WiFi BT 120W Cam черный 1920x1080</t>
        </is>
      </c>
      <c r="E3276" s="2" t="inlineStr">
        <is>
          <t>+ </t>
        </is>
      </c>
      <c r="F3276" s="2" t="inlineStr">
        <is>
          <t>+ </t>
        </is>
      </c>
      <c r="H3276" s="2">
        <v>622</v>
      </c>
      <c r="I3276" s="2" t="inlineStr">
        <is>
          <t>$</t>
        </is>
      </c>
      <c r="J3276" s="2">
        <f>HYPERLINK("https://app.astro.lead-studio.pro/product/6ebdc24d-8cf4-404f-953c-f0cfad5ebb93")</f>
      </c>
    </row>
    <row r="3277" spans="1:10" customHeight="0">
      <c r="A3277" s="2" t="inlineStr">
        <is>
          <t>Компьютеры</t>
        </is>
      </c>
      <c r="B3277" s="2" t="inlineStr">
        <is>
          <t>IRU</t>
        </is>
      </c>
      <c r="C3277" s="2" t="inlineStr">
        <is>
          <t>2044690</t>
        </is>
      </c>
      <c r="D3277" s="2" t="inlineStr">
        <is>
          <t>Моноблок IRU 27IM 27" Full HD i3 1215U (1.2) 8Gb SSD256Gb HDG Free DOS GbitEth WiFi BT 90W Cam черный 1920x1080</t>
        </is>
      </c>
      <c r="E3277" s="2" t="inlineStr">
        <is>
          <t>++ </t>
        </is>
      </c>
      <c r="F3277" s="2" t="inlineStr">
        <is>
          <t>++ </t>
        </is>
      </c>
      <c r="H3277" s="2">
        <v>525</v>
      </c>
      <c r="I3277" s="2" t="inlineStr">
        <is>
          <t>$</t>
        </is>
      </c>
      <c r="J3277" s="2">
        <f>HYPERLINK("https://app.astro.lead-studio.pro/product/da13facc-46d0-4c76-8001-d92be8d20e22")</f>
      </c>
    </row>
    <row r="3278" spans="1:10" customHeight="0">
      <c r="A3278" s="2" t="inlineStr">
        <is>
          <t>Компьютеры</t>
        </is>
      </c>
      <c r="B3278" s="2" t="inlineStr">
        <is>
          <t>IRU</t>
        </is>
      </c>
      <c r="C3278" s="2" t="inlineStr">
        <is>
          <t>2044689</t>
        </is>
      </c>
      <c r="D3278" s="2" t="inlineStr">
        <is>
          <t>Моноблок IRU 27IM 27" Full HD i3 1215U (1.2) 8Gb SSD256Gb UHDG Windows 11 Professional GbitEth WiFi BT 90W Cam черный 1920x1080</t>
        </is>
      </c>
      <c r="E3278" s="2" t="inlineStr">
        <is>
          <t>+++ </t>
        </is>
      </c>
      <c r="F3278" s="2" t="inlineStr">
        <is>
          <t>+++ </t>
        </is>
      </c>
      <c r="H3278" s="2">
        <v>529</v>
      </c>
      <c r="I3278" s="2" t="inlineStr">
        <is>
          <t>$</t>
        </is>
      </c>
      <c r="J3278" s="2">
        <f>HYPERLINK("https://app.astro.lead-studio.pro/product/953b5193-e9df-4345-89c7-e821e98c262a")</f>
      </c>
    </row>
    <row r="3279" spans="1:10" customHeight="0">
      <c r="A3279" s="2" t="inlineStr">
        <is>
          <t>Компьютеры</t>
        </is>
      </c>
      <c r="B3279" s="2" t="inlineStr">
        <is>
          <t>IRU</t>
        </is>
      </c>
      <c r="C3279" s="2" t="inlineStr">
        <is>
          <t>1972092</t>
        </is>
      </c>
      <c r="D3279" s="2" t="inlineStr">
        <is>
          <t>Моноблок IRU 27IM 27" Full HD i5 1235U (1.3) 16Gb SSD512Gb UHDG Windows 11 Pro GbitEth WiFi BT 120W Cam черный 1920x1080</t>
        </is>
      </c>
      <c r="E3279" s="2" t="inlineStr">
        <is>
          <t>+++ </t>
        </is>
      </c>
      <c r="F3279" s="2" t="inlineStr">
        <is>
          <t>+++ </t>
        </is>
      </c>
      <c r="H3279" s="2">
        <v>666</v>
      </c>
      <c r="I3279" s="2" t="inlineStr">
        <is>
          <t>$</t>
        </is>
      </c>
      <c r="J3279" s="2">
        <f>HYPERLINK("https://app.astro.lead-studio.pro/product/43e8be2d-21ef-4aad-93ea-63ea398229db")</f>
      </c>
    </row>
    <row r="3280" spans="1:10" customHeight="0">
      <c r="A3280" s="2" t="inlineStr">
        <is>
          <t>Компьютеры</t>
        </is>
      </c>
      <c r="B3280" s="2" t="inlineStr">
        <is>
          <t>IRU</t>
        </is>
      </c>
      <c r="C3280" s="2" t="inlineStr">
        <is>
          <t>1972091</t>
        </is>
      </c>
      <c r="D3280" s="2" t="inlineStr">
        <is>
          <t>Моноблок IRU 27IM 27" Full HD i5 1235U (1.3) 16Gb SSD512Gb UHDG без ОС GbitEth WiFi BT 120W Cam черный 1920x1080</t>
        </is>
      </c>
      <c r="E3280" s="2" t="inlineStr">
        <is>
          <t>+++ </t>
        </is>
      </c>
      <c r="F3280" s="2" t="inlineStr">
        <is>
          <t>+++ </t>
        </is>
      </c>
      <c r="H3280" s="2">
        <v>640</v>
      </c>
      <c r="I3280" s="2" t="inlineStr">
        <is>
          <t>$</t>
        </is>
      </c>
      <c r="J3280" s="2">
        <f>HYPERLINK("https://app.astro.lead-studio.pro/product/c3b6404b-b6ee-4d01-ac50-25462ce23ad3")</f>
      </c>
    </row>
    <row r="3281" spans="1:10" customHeight="0">
      <c r="A3281" s="2" t="inlineStr">
        <is>
          <t>Компьютеры</t>
        </is>
      </c>
      <c r="B3281" s="2" t="inlineStr">
        <is>
          <t>IRU</t>
        </is>
      </c>
      <c r="C3281" s="2" t="inlineStr">
        <is>
          <t>1971905</t>
        </is>
      </c>
      <c r="D3281" s="2" t="inlineStr">
        <is>
          <t>Моноблок IRU P231 23.8" Full HD Cel N4020 (1.1) 8Gb SSD256Gb Windows 11 Professional GbitEth WiFi BT 120W Cam черный 1920x1080</t>
        </is>
      </c>
      <c r="E3281" s="2" t="inlineStr">
        <is>
          <t>+++ </t>
        </is>
      </c>
      <c r="F3281" s="2" t="inlineStr">
        <is>
          <t>+++ </t>
        </is>
      </c>
      <c r="H3281" s="2">
        <v>324</v>
      </c>
      <c r="I3281" s="2" t="inlineStr">
        <is>
          <t>$</t>
        </is>
      </c>
      <c r="J3281" s="2">
        <f>HYPERLINK("https://app.astro.lead-studio.pro/product/17934180-26ea-4d47-bc20-3ab572c987d8")</f>
      </c>
    </row>
    <row r="3282" spans="1:10" customHeight="0">
      <c r="A3282" s="2" t="inlineStr">
        <is>
          <t>Компьютеры</t>
        </is>
      </c>
      <c r="B3282" s="2" t="inlineStr">
        <is>
          <t>IRU</t>
        </is>
      </c>
      <c r="D3282" s="2" t="inlineStr">
        <is>
          <t>Моноблок IRU P231 23.8" Full HD N100 (0.8) 8Gb SSD256Gb UHDG noOS GbitEth WiFi BT 36W Cam черный 1920x1080</t>
        </is>
      </c>
      <c r="E3282" s="2" t="inlineStr">
        <is>
          <t>+ </t>
        </is>
      </c>
      <c r="F3282" s="2" t="inlineStr">
        <is>
          <t>+ </t>
        </is>
      </c>
      <c r="H3282" s="2">
        <v>328</v>
      </c>
      <c r="I3282" s="2" t="inlineStr">
        <is>
          <t>$</t>
        </is>
      </c>
    </row>
    <row r="3283" spans="1:10" customHeight="0">
      <c r="A3283" s="2" t="inlineStr">
        <is>
          <t>Компьютеры</t>
        </is>
      </c>
      <c r="B3283" s="2" t="inlineStr">
        <is>
          <t>IRU</t>
        </is>
      </c>
      <c r="C3283" s="2" t="inlineStr">
        <is>
          <t>2044607</t>
        </is>
      </c>
      <c r="D3283" s="2" t="inlineStr">
        <is>
          <t>Моноблок IRU P231 23.8" Full HD N100 (0.8) 8Gb SSD256Gb UHDG Windows 11 Professional GbitEth WiFi BT 36W Cam черный 1920x1080</t>
        </is>
      </c>
      <c r="E3283" s="2" t="inlineStr">
        <is>
          <t>+ </t>
        </is>
      </c>
      <c r="F3283" s="2" t="inlineStr">
        <is>
          <t>+ </t>
        </is>
      </c>
      <c r="H3283" s="2">
        <v>342</v>
      </c>
      <c r="I3283" s="2" t="inlineStr">
        <is>
          <t>$</t>
        </is>
      </c>
      <c r="J3283" s="2">
        <f>HYPERLINK("https://app.astro.lead-studio.pro/product/027e6646-ab41-423a-9c15-c4f1b2aee9f6")</f>
      </c>
    </row>
    <row r="3284" spans="1:10" customHeight="0">
      <c r="A3284" s="2" t="inlineStr">
        <is>
          <t>Компьютеры</t>
        </is>
      </c>
      <c r="B3284" s="2" t="inlineStr">
        <is>
          <t>IRU</t>
        </is>
      </c>
      <c r="C3284" s="2" t="inlineStr">
        <is>
          <t>2044586</t>
        </is>
      </c>
      <c r="D3284" s="2" t="inlineStr">
        <is>
          <t>Моноблок IRU P231 23.8" Full HD N95 (1.7) 8Gb SSD256Gb UHDG noOS GbitEth WiFi BT 36W Cam черный 1920x1080</t>
        </is>
      </c>
      <c r="E3284" s="2" t="inlineStr">
        <is>
          <t>++ </t>
        </is>
      </c>
      <c r="F3284" s="2" t="inlineStr">
        <is>
          <t>++ </t>
        </is>
      </c>
      <c r="H3284" s="2">
        <v>340</v>
      </c>
      <c r="I3284" s="2" t="inlineStr">
        <is>
          <t>$</t>
        </is>
      </c>
      <c r="J3284" s="2">
        <f>HYPERLINK("https://app.astro.lead-studio.pro/product/04fa7bb4-d2c2-4b54-974f-b13e4bf56b93")</f>
      </c>
    </row>
    <row r="3285" spans="1:10" customHeight="0">
      <c r="A3285" s="2" t="inlineStr">
        <is>
          <t>Компьютеры</t>
        </is>
      </c>
      <c r="B3285" s="2" t="inlineStr">
        <is>
          <t>IRU</t>
        </is>
      </c>
      <c r="C3285" s="2" t="inlineStr">
        <is>
          <t>2044604</t>
        </is>
      </c>
      <c r="D3285" s="2" t="inlineStr">
        <is>
          <t>Моноблок IRU P231 23.8" Full HD N95 (1.7) 8Gb SSD256Gb Windows 11 Professional GbitEth WiFi BT 36W Cam черный 1920x1080</t>
        </is>
      </c>
      <c r="E3285" s="2" t="inlineStr">
        <is>
          <t>++ </t>
        </is>
      </c>
      <c r="F3285" s="2" t="inlineStr">
        <is>
          <t>++ </t>
        </is>
      </c>
      <c r="H3285" s="2">
        <v>347</v>
      </c>
      <c r="I3285" s="2" t="inlineStr">
        <is>
          <t>$</t>
        </is>
      </c>
      <c r="J3285" s="2">
        <f>HYPERLINK("https://app.astro.lead-studio.pro/product/b9ddd90d-5716-41b3-af6d-b59b73b95d70")</f>
      </c>
    </row>
    <row r="3286" spans="1:10" customHeight="0">
      <c r="A3286" s="2" t="inlineStr">
        <is>
          <t>Компьютеры</t>
        </is>
      </c>
      <c r="B3286" s="2" t="inlineStr">
        <is>
          <t>IRU</t>
        </is>
      </c>
      <c r="C3286" s="2" t="inlineStr">
        <is>
          <t>1971911</t>
        </is>
      </c>
      <c r="D3286" s="2" t="inlineStr">
        <is>
          <t>Моноблок IRU P231 23.8" Full HD PS N5030 (1.1) 8Gb SSD256Gb Windows 11 Professional GbitEth WiFi BT 120W Cam черный 1920x1080</t>
        </is>
      </c>
      <c r="E3286" s="2" t="inlineStr">
        <is>
          <t>+ </t>
        </is>
      </c>
      <c r="F3286" s="2" t="inlineStr">
        <is>
          <t>+ </t>
        </is>
      </c>
      <c r="H3286" s="2">
        <v>340</v>
      </c>
      <c r="I3286" s="2" t="inlineStr">
        <is>
          <t>$</t>
        </is>
      </c>
      <c r="J3286" s="2">
        <f>HYPERLINK("https://app.astro.lead-studio.pro/product/ab9d86ef-468d-4892-bec6-33283a71c64d")</f>
      </c>
    </row>
    <row r="3287" spans="1:10" customHeight="0">
      <c r="A3287" s="2" t="inlineStr">
        <is>
          <t>Компьютеры</t>
        </is>
      </c>
      <c r="B3287" s="2" t="inlineStr">
        <is>
          <t>IRU</t>
        </is>
      </c>
      <c r="C3287" s="2" t="inlineStr">
        <is>
          <t>1971918</t>
        </is>
      </c>
      <c r="D3287" s="2" t="inlineStr">
        <is>
          <t>Моноблок IRU P233 23.8" Full HD i3 1005G1 (1.2) 16Gb SSD256Gb CR Windows 11 Professional GbitEth WiFi BT 120W Cam черный 1920x1080</t>
        </is>
      </c>
      <c r="E3287" s="2" t="inlineStr">
        <is>
          <t>+ </t>
        </is>
      </c>
      <c r="F3287" s="2" t="inlineStr">
        <is>
          <t>+ </t>
        </is>
      </c>
      <c r="H3287" s="2">
        <v>474</v>
      </c>
      <c r="I3287" s="2" t="inlineStr">
        <is>
          <t>$</t>
        </is>
      </c>
      <c r="J3287" s="2">
        <f>HYPERLINK("https://app.astro.lead-studio.pro/product/e4b0ed60-0a7a-4529-9dbf-d7f6d151fa3d")</f>
      </c>
    </row>
    <row r="3288" spans="1:10" customHeight="0">
      <c r="A3288" s="2" t="inlineStr">
        <is>
          <t>Компьютеры</t>
        </is>
      </c>
      <c r="B3288" s="2" t="inlineStr">
        <is>
          <t>IRU</t>
        </is>
      </c>
      <c r="C3288" s="2" t="inlineStr">
        <is>
          <t>2026153</t>
        </is>
      </c>
      <c r="D3288" s="2" t="inlineStr">
        <is>
          <t>Моноблок IRU P233 23.8" Full HD i3 1005G1 (1.2) 16Gb SSD512Gb noOS GbitEth WiFi BT 120W Cam черный 1920x1080</t>
        </is>
      </c>
      <c r="E3288" s="2" t="inlineStr">
        <is>
          <t>+ </t>
        </is>
      </c>
      <c r="F3288" s="2" t="inlineStr">
        <is>
          <t>+ </t>
        </is>
      </c>
      <c r="H3288" s="2">
        <v>477</v>
      </c>
      <c r="I3288" s="2" t="inlineStr">
        <is>
          <t>$</t>
        </is>
      </c>
      <c r="J3288" s="2">
        <f>HYPERLINK("https://app.astro.lead-studio.pro/product/ec9b95df-dd2b-4713-877a-d3c4dc4ccbd9")</f>
      </c>
    </row>
    <row r="3289" spans="1:10" customHeight="0">
      <c r="A3289" s="2" t="inlineStr">
        <is>
          <t>Компьютеры</t>
        </is>
      </c>
      <c r="B3289" s="2" t="inlineStr">
        <is>
          <t>IRU</t>
        </is>
      </c>
      <c r="C3289" s="2" t="inlineStr">
        <is>
          <t>2044610</t>
        </is>
      </c>
      <c r="D3289" s="2" t="inlineStr">
        <is>
          <t>Моноблок IRU P233 23.8" Full HD i3 1005G1 (1.2) 16Gb SSD512Gb UHDG CR Windows 11 Professional GbitEth WiFi BT 90W Cam черный 1920x1080</t>
        </is>
      </c>
      <c r="E3289" s="2" t="inlineStr">
        <is>
          <t>+++ </t>
        </is>
      </c>
      <c r="F3289" s="2" t="inlineStr">
        <is>
          <t>+++ </t>
        </is>
      </c>
      <c r="H3289" s="2">
        <v>501</v>
      </c>
      <c r="I3289" s="2" t="inlineStr">
        <is>
          <t>$</t>
        </is>
      </c>
      <c r="J3289" s="2">
        <f>HYPERLINK("https://app.astro.lead-studio.pro/product/e531c55a-de46-4d9a-ac4d-d82fc8b500c6")</f>
      </c>
    </row>
    <row r="3290" spans="1:10" customHeight="0">
      <c r="A3290" s="2" t="inlineStr">
        <is>
          <t>Компьютеры</t>
        </is>
      </c>
      <c r="B3290" s="2" t="inlineStr">
        <is>
          <t>IRU</t>
        </is>
      </c>
      <c r="C3290" s="2" t="inlineStr">
        <is>
          <t>1971915</t>
        </is>
      </c>
      <c r="D3290" s="2" t="inlineStr">
        <is>
          <t>Моноблок IRU P233 23.8" Full HD i3 1005G1 (1.2) 8Gb SSD256Gb CR noOS GbitEth WiFi BT 120W Cam черный 1920x1080</t>
        </is>
      </c>
      <c r="E3290" s="2" t="inlineStr">
        <is>
          <t>+++ </t>
        </is>
      </c>
      <c r="F3290" s="2" t="inlineStr">
        <is>
          <t>+++ </t>
        </is>
      </c>
      <c r="H3290" s="2">
        <v>438</v>
      </c>
      <c r="I3290" s="2" t="inlineStr">
        <is>
          <t>$</t>
        </is>
      </c>
      <c r="J3290" s="2">
        <f>HYPERLINK("https://app.astro.lead-studio.pro/product/e78ebd7b-3f19-44b6-8895-f2488da53ec3")</f>
      </c>
    </row>
    <row r="3291" spans="1:10" customHeight="0">
      <c r="A3291" s="2" t="inlineStr">
        <is>
          <t>Компьютеры</t>
        </is>
      </c>
      <c r="B3291" s="2" t="inlineStr">
        <is>
          <t>IRU</t>
        </is>
      </c>
      <c r="C3291" s="2" t="inlineStr">
        <is>
          <t>1971916</t>
        </is>
      </c>
      <c r="D3291" s="2" t="inlineStr">
        <is>
          <t>Моноблок IRU P233 23.8" Full HD i3 1005G1 (1.2) 8Gb SSD256Gb CR Windows 11 Professional GbitEth WiFi BT 120W Cam черный 1920x1080</t>
        </is>
      </c>
      <c r="E3291" s="2" t="inlineStr">
        <is>
          <t>+++ </t>
        </is>
      </c>
      <c r="F3291" s="2" t="inlineStr">
        <is>
          <t>+++ </t>
        </is>
      </c>
      <c r="H3291" s="2">
        <v>454</v>
      </c>
      <c r="I3291" s="2" t="inlineStr">
        <is>
          <t>$</t>
        </is>
      </c>
      <c r="J3291" s="2">
        <f>HYPERLINK("https://app.astro.lead-studio.pro/product/19423f2b-0cbf-4001-9453-140bb63ba2bd")</f>
      </c>
    </row>
    <row r="3292" spans="1:10" customHeight="0">
      <c r="A3292" s="2" t="inlineStr">
        <is>
          <t>Компьютеры</t>
        </is>
      </c>
      <c r="B3292" s="2" t="inlineStr">
        <is>
          <t>IRU</t>
        </is>
      </c>
      <c r="C3292" s="2" t="inlineStr">
        <is>
          <t>2028267</t>
        </is>
      </c>
      <c r="D3292" s="2" t="inlineStr">
        <is>
          <t>Моноблок IRU Strato 27" QHD i5 1235U (1.3) 16Gb SSD512Gb Iris Xe CR Windows 11 Professional GbitEth WiFi BT 65W Cam белый 2560x1440</t>
        </is>
      </c>
      <c r="E3292" s="2" t="inlineStr">
        <is>
          <t>+ </t>
        </is>
      </c>
      <c r="F3292" s="2" t="inlineStr">
        <is>
          <t>+ </t>
        </is>
      </c>
      <c r="H3292" s="2">
        <v>696</v>
      </c>
      <c r="I3292" s="2" t="inlineStr">
        <is>
          <t>$</t>
        </is>
      </c>
      <c r="J3292" s="2">
        <f>HYPERLINK("https://app.astro.lead-studio.pro/product/6d055a0d-4834-40f0-a1de-e6eed4447d84")</f>
      </c>
    </row>
    <row r="3293" spans="1:10" customHeight="0">
      <c r="A3293" s="2" t="inlineStr">
        <is>
          <t>Компьютеры</t>
        </is>
      </c>
      <c r="B3293" s="2" t="inlineStr">
        <is>
          <t>IRU</t>
        </is>
      </c>
      <c r="C3293" s="2" t="inlineStr">
        <is>
          <t>2028236</t>
        </is>
      </c>
      <c r="D3293" s="2" t="inlineStr">
        <is>
          <t>Моноблок IRU Tactio 23.8" Full HD i3 1215U (1.2) 8Gb SSD256Gb CR noOS GbitEth WiFi BT 120W Cam белый 1920x1080</t>
        </is>
      </c>
      <c r="E3293" s="2" t="inlineStr">
        <is>
          <t>+ </t>
        </is>
      </c>
      <c r="F3293" s="2" t="inlineStr">
        <is>
          <t>+ </t>
        </is>
      </c>
      <c r="H3293" s="2">
        <v>497</v>
      </c>
      <c r="I3293" s="2" t="inlineStr">
        <is>
          <t>$</t>
        </is>
      </c>
      <c r="J3293" s="2">
        <f>HYPERLINK("https://app.astro.lead-studio.pro/product/8f570de0-b4d5-43cb-a45f-3d1ef010feae")</f>
      </c>
    </row>
    <row r="3294" spans="1:10" customHeight="0">
      <c r="A3294" s="2" t="inlineStr">
        <is>
          <t>Компьютеры</t>
        </is>
      </c>
      <c r="B3294" s="2" t="inlineStr">
        <is>
          <t>IRU</t>
        </is>
      </c>
      <c r="C3294" s="2" t="inlineStr">
        <is>
          <t>2028246</t>
        </is>
      </c>
      <c r="D3294" s="2" t="inlineStr">
        <is>
          <t>Моноблок IRU Tactio 23.8" Full HD i3 1215U (1.2) 8Gb SSD256Gb UHDG CR Windows 11 Professional GbitEth WiFi BT 65W Cam белый 1920x1080</t>
        </is>
      </c>
      <c r="E3294" s="2" t="inlineStr">
        <is>
          <t>+++ </t>
        </is>
      </c>
      <c r="F3294" s="2" t="inlineStr">
        <is>
          <t>+++ </t>
        </is>
      </c>
      <c r="H3294" s="2">
        <v>491</v>
      </c>
      <c r="I3294" s="2" t="inlineStr">
        <is>
          <t>$</t>
        </is>
      </c>
      <c r="J3294" s="2">
        <f>HYPERLINK("https://app.astro.lead-studio.pro/product/fa3d3def-e794-4ed5-9cb0-11f353382ce5")</f>
      </c>
    </row>
    <row r="3295" spans="1:10" customHeight="0">
      <c r="A3295" s="2" t="inlineStr">
        <is>
          <t>Компьютеры</t>
        </is>
      </c>
      <c r="B3295" s="2" t="inlineStr">
        <is>
          <t>IRU</t>
        </is>
      </c>
      <c r="C3295" s="2" t="inlineStr">
        <is>
          <t>2028249</t>
        </is>
      </c>
      <c r="D3295" s="2" t="inlineStr">
        <is>
          <t>Моноблок IRU Tactio 23.8" Full HD i5 1235U (1.3) 16Gb SSD512Gb CR noOS GbitEth WiFi BT 120W Cam белый 1920x1080</t>
        </is>
      </c>
      <c r="E3295" s="2" t="inlineStr">
        <is>
          <t>+ </t>
        </is>
      </c>
      <c r="F3295" s="2" t="inlineStr">
        <is>
          <t>+ </t>
        </is>
      </c>
      <c r="H3295" s="2">
        <v>555</v>
      </c>
      <c r="I3295" s="2" t="inlineStr">
        <is>
          <t>$</t>
        </is>
      </c>
      <c r="J3295" s="2">
        <f>HYPERLINK("https://app.astro.lead-studio.pro/product/9a04f30c-9506-4b5e-abd6-e6c201eb38c9")</f>
      </c>
    </row>
    <row r="3296" spans="1:10" customHeight="0">
      <c r="A3296" s="2" t="inlineStr">
        <is>
          <t>Компьютеры</t>
        </is>
      </c>
      <c r="B3296" s="2" t="inlineStr">
        <is>
          <t>IRU</t>
        </is>
      </c>
      <c r="C3296" s="2" t="inlineStr">
        <is>
          <t>2031881</t>
        </is>
      </c>
      <c r="D3296" s="2" t="inlineStr">
        <is>
          <t>Моноблок IRU Tactio 23.8" Full HD i5 12450H (2) 16Gb SSD512Gb Windows 11 Pro GbitEth WiFi BT 90W Cam черный 1920x1080</t>
        </is>
      </c>
      <c r="E3296" s="2" t="inlineStr">
        <is>
          <t>+++ </t>
        </is>
      </c>
      <c r="F3296" s="2" t="inlineStr">
        <is>
          <t>+++ </t>
        </is>
      </c>
      <c r="H3296" s="2">
        <v>613</v>
      </c>
      <c r="I3296" s="2" t="inlineStr">
        <is>
          <t>$</t>
        </is>
      </c>
      <c r="J3296" s="2">
        <f>HYPERLINK("https://app.astro.lead-studio.pro/product/7977ebad-429a-4c71-8cfd-60700c84fcff")</f>
      </c>
    </row>
    <row r="3297" spans="1:10" customHeight="0">
      <c r="A3297" s="2" t="inlineStr">
        <is>
          <t>Компьютеры</t>
        </is>
      </c>
      <c r="B3297" s="2" t="inlineStr">
        <is>
          <t>IRU</t>
        </is>
      </c>
      <c r="C3297" s="2" t="inlineStr">
        <is>
          <t>2031879</t>
        </is>
      </c>
      <c r="D3297" s="2" t="inlineStr">
        <is>
          <t>Моноблок IRU Tactio 23.8" Full HD i5 12450H (2) 16Gb SSD512Gb без ОС GbitEth WiFi BT 90W Cam черный 1920x1080</t>
        </is>
      </c>
      <c r="E3297" s="2" t="inlineStr">
        <is>
          <t>+++ </t>
        </is>
      </c>
      <c r="F3297" s="2" t="inlineStr">
        <is>
          <t>+++ </t>
        </is>
      </c>
      <c r="H3297" s="2">
        <v>595</v>
      </c>
      <c r="I3297" s="2" t="inlineStr">
        <is>
          <t>$</t>
        </is>
      </c>
      <c r="J3297" s="2">
        <f>HYPERLINK("https://app.astro.lead-studio.pro/product/87f58cb4-f5b6-4f76-9a70-d47d642330e4")</f>
      </c>
    </row>
    <row r="3298" spans="1:10" customHeight="0">
      <c r="A3298" s="2" t="inlineStr">
        <is>
          <t>Компьютеры</t>
        </is>
      </c>
      <c r="B3298" s="2" t="inlineStr">
        <is>
          <t>IRU</t>
        </is>
      </c>
      <c r="C3298" s="2" t="inlineStr">
        <is>
          <t>2031884</t>
        </is>
      </c>
      <c r="D3298" s="2" t="inlineStr">
        <is>
          <t>Моноблок IRU Tactio 23.8" Full HD i5 12450H (2) 32Gb SSD1Tb Windows 11 Pro GbitEth WiFi BT 90W Cam черный 1920x1080</t>
        </is>
      </c>
      <c r="E3298" s="2" t="inlineStr">
        <is>
          <t>++ </t>
        </is>
      </c>
      <c r="F3298" s="2" t="inlineStr">
        <is>
          <t>++ </t>
        </is>
      </c>
      <c r="H3298" s="2">
        <v>680</v>
      </c>
      <c r="I3298" s="2" t="inlineStr">
        <is>
          <t>$</t>
        </is>
      </c>
      <c r="J3298" s="2">
        <f>HYPERLINK("https://app.astro.lead-studio.pro/product/5d0e5d93-d5fd-482e-a7b8-584acc65772e")</f>
      </c>
    </row>
    <row r="3299" spans="1:10" customHeight="0">
      <c r="A3299" s="2" t="inlineStr">
        <is>
          <t>Компьютеры</t>
        </is>
      </c>
      <c r="B3299" s="2" t="inlineStr">
        <is>
          <t>IRU</t>
        </is>
      </c>
      <c r="C3299" s="2" t="inlineStr">
        <is>
          <t>2031886</t>
        </is>
      </c>
      <c r="D3299" s="2" t="inlineStr">
        <is>
          <t>Моноблок IRU Tactio 23.8" Full HD i5 12450H (2) 32Gb SSD1Tb без ОС GbitEth WiFi BT 90W Cam черный 1920x1080</t>
        </is>
      </c>
      <c r="E3299" s="2" t="inlineStr">
        <is>
          <t>+ </t>
        </is>
      </c>
      <c r="F3299" s="2" t="inlineStr">
        <is>
          <t>+ </t>
        </is>
      </c>
      <c r="H3299" s="2">
        <v>644</v>
      </c>
      <c r="I3299" s="2" t="inlineStr">
        <is>
          <t>$</t>
        </is>
      </c>
      <c r="J3299" s="2">
        <f>HYPERLINK("https://app.astro.lead-studio.pro/product/12e479b0-8551-4a92-9571-cce467484beb")</f>
      </c>
    </row>
    <row r="3300" spans="1:10" customHeight="0">
      <c r="A3300" s="2" t="inlineStr">
        <is>
          <t>Компьютеры</t>
        </is>
      </c>
      <c r="B3300" s="2" t="inlineStr">
        <is>
          <t>IRU</t>
        </is>
      </c>
      <c r="C3300" s="2" t="inlineStr">
        <is>
          <t>2064646</t>
        </is>
      </c>
      <c r="D3300" s="2" t="inlineStr">
        <is>
          <t>Моноблок IRU Tactio 23IH6 23.8" Full HD i5 12400 (2.5) 8Gb SSD256Gb UHDG 730 FreeDOS WiFi BT Spk 120W Cam черный 1920x1080</t>
        </is>
      </c>
      <c r="E3300" s="2" t="inlineStr">
        <is>
          <t>+ </t>
        </is>
      </c>
      <c r="F3300" s="2" t="inlineStr">
        <is>
          <t>+ </t>
        </is>
      </c>
      <c r="H3300" s="2">
        <v>549</v>
      </c>
      <c r="I3300" s="2" t="inlineStr">
        <is>
          <t>$</t>
        </is>
      </c>
      <c r="J3300" s="2">
        <f>HYPERLINK("https://app.astro.lead-studio.pro/product/13518857-d363-46de-9d7c-9230c103ddef")</f>
      </c>
    </row>
    <row r="3301" spans="1:10" customHeight="0">
      <c r="A3301" s="2" t="inlineStr">
        <is>
          <t>Компьютеры</t>
        </is>
      </c>
      <c r="B3301" s="2" t="inlineStr">
        <is>
          <t>IRU</t>
        </is>
      </c>
      <c r="C3301" s="2" t="inlineStr">
        <is>
          <t>2046342</t>
        </is>
      </c>
      <c r="D3301" s="2" t="inlineStr">
        <is>
          <t>Моноблок IRU Агат 632 23.8" Full HD i3 12100 (3.3) 8Gb SSD256Gb UHDG 730 FreeDOS GbitEth WiFi BT Cam черный 1920x1080</t>
        </is>
      </c>
      <c r="E3301" s="2" t="inlineStr">
        <is>
          <t>+ </t>
        </is>
      </c>
      <c r="F3301" s="2" t="inlineStr">
        <is>
          <t>+ </t>
        </is>
      </c>
      <c r="H3301" s="2">
        <v>666</v>
      </c>
      <c r="I3301" s="2" t="inlineStr">
        <is>
          <t>$</t>
        </is>
      </c>
      <c r="J3301" s="2">
        <f>HYPERLINK("https://app.astro.lead-studio.pro/product/e9d16fa1-b5ab-47bc-9178-863bf8e7f4bc")</f>
      </c>
    </row>
    <row r="3302" spans="1:10" customHeight="0">
      <c r="A3302" s="2" t="inlineStr">
        <is>
          <t>Компьютеры</t>
        </is>
      </c>
      <c r="B3302" s="2" t="inlineStr">
        <is>
          <t>IRU</t>
        </is>
      </c>
      <c r="C3302" s="2" t="inlineStr">
        <is>
          <t>2045707</t>
        </is>
      </c>
      <c r="D3302" s="2" t="inlineStr">
        <is>
          <t>Моноблок IRU Агат 632 23.8" Full HD PG G7400 (3.7) 8Gb SSD256Gb UHDG 710 FreeDOS GbitEth WiFi BT клавиатура мышь Cam черный 1920x1080</t>
        </is>
      </c>
      <c r="E3302" s="2" t="inlineStr">
        <is>
          <t>+ </t>
        </is>
      </c>
      <c r="F3302" s="2" t="inlineStr">
        <is>
          <t>+ </t>
        </is>
      </c>
      <c r="H3302" s="2">
        <v>646</v>
      </c>
      <c r="I3302" s="2" t="inlineStr">
        <is>
          <t>$</t>
        </is>
      </c>
      <c r="J3302" s="2">
        <f>HYPERLINK("https://app.astro.lead-studio.pro/product/5505bee0-7f35-4580-9f1e-540935719b45")</f>
      </c>
    </row>
    <row r="3303" spans="1:10" customHeight="0">
      <c r="A3303" s="2" t="inlineStr">
        <is>
          <t>Компьютеры</t>
        </is>
      </c>
      <c r="B3303" s="2" t="inlineStr">
        <is>
          <t>IRU</t>
        </is>
      </c>
      <c r="C3303" s="2" t="inlineStr">
        <is>
          <t>2032347</t>
        </is>
      </c>
      <c r="D3303" s="2" t="inlineStr">
        <is>
          <t>Моноблок IRU Агат 635 23.8" Full HD i5 12400 (2.5) 16Gb SSD512Gb UHDG 730 FreeDOS GbitEth WiFi BT Cam черный 1920x1080</t>
        </is>
      </c>
      <c r="E3303" s="2" t="inlineStr">
        <is>
          <t>+ </t>
        </is>
      </c>
      <c r="F3303" s="2" t="inlineStr">
        <is>
          <t>+ </t>
        </is>
      </c>
      <c r="H3303" s="2">
        <v>728</v>
      </c>
      <c r="I3303" s="2" t="inlineStr">
        <is>
          <t>$</t>
        </is>
      </c>
      <c r="J3303" s="2">
        <f>HYPERLINK("https://app.astro.lead-studio.pro/product/083409f3-06be-47d2-a6e3-f8cd8f75d993")</f>
      </c>
    </row>
    <row r="3304" spans="1:10" customHeight="0">
      <c r="A3304" s="2" t="inlineStr">
        <is>
          <t>Компьютеры</t>
        </is>
      </c>
      <c r="B3304" s="2" t="inlineStr">
        <is>
          <t>LENOVO</t>
        </is>
      </c>
      <c r="C3304" s="2" t="inlineStr">
        <is>
          <t>F0HN007LRU</t>
        </is>
      </c>
      <c r="D3304" s="2" t="inlineStr">
        <is>
          <t>Моноблок Lenovo IdeaCentre 24IRH9 23.8" Full HD i3 1315U (1.2) 8Gb SSD256Gb UHDG noOS GbitEth WiFi BT 90W клавиатура мышь Cam серый 1920x1080</t>
        </is>
      </c>
      <c r="E3304" s="2" t="inlineStr">
        <is>
          <t>+ </t>
        </is>
      </c>
      <c r="F3304" s="2" t="inlineStr">
        <is>
          <t>+ </t>
        </is>
      </c>
      <c r="H3304" s="2">
        <v>860</v>
      </c>
      <c r="I3304" s="2" t="inlineStr">
        <is>
          <t>$</t>
        </is>
      </c>
      <c r="J3304" s="2">
        <f>HYPERLINK("https://app.astro.lead-studio.pro/product/f3effd96-e888-4422-abb6-34249bf3f71b")</f>
      </c>
    </row>
    <row r="3305" spans="1:10" customHeight="0">
      <c r="A3305" s="2" t="inlineStr">
        <is>
          <t>Компьютеры</t>
        </is>
      </c>
      <c r="B3305" s="2" t="inlineStr">
        <is>
          <t>LENOVO</t>
        </is>
      </c>
      <c r="C3305" s="2" t="inlineStr">
        <is>
          <t>F0HN007MRU</t>
        </is>
      </c>
      <c r="D3305" s="2" t="inlineStr">
        <is>
          <t>Моноблок Lenovo IdeaCentre 24IRH9 23.8" Full HD i5 13420H (2.1) 16Gb SSD512Gb UHDG noOS GbitEth WiFi BT 90W клавиатура мышь Cam серый 1920x1080</t>
        </is>
      </c>
      <c r="E3305" s="2" t="inlineStr">
        <is>
          <t>++ </t>
        </is>
      </c>
      <c r="F3305" s="2" t="inlineStr">
        <is>
          <t>++ </t>
        </is>
      </c>
      <c r="H3305" s="2">
        <v>992</v>
      </c>
      <c r="I3305" s="2" t="inlineStr">
        <is>
          <t>$</t>
        </is>
      </c>
      <c r="J3305" s="2">
        <f>HYPERLINK("https://app.astro.lead-studio.pro/product/93292ed0-6481-4589-9ea5-ec33ab7aa0b4")</f>
      </c>
    </row>
    <row r="3306" spans="1:10" customHeight="0">
      <c r="A3306" s="2" t="inlineStr">
        <is>
          <t>Компьютеры</t>
        </is>
      </c>
      <c r="B3306" s="2" t="inlineStr">
        <is>
          <t>LENOVO</t>
        </is>
      </c>
      <c r="C3306" s="2" t="inlineStr">
        <is>
          <t>F0HN00HVRU</t>
        </is>
      </c>
      <c r="D3306" s="2" t="inlineStr">
        <is>
          <t>Моноблок Lenovo IdeaCentre 24IRH9 23.8" Full HD i5 13420H (2.1) 8Gb SSD256Gb UHDG noOS GbitEth WiFi BT 90W клавиатура мышь Cam серый 1920x1080</t>
        </is>
      </c>
      <c r="E3306" s="2" t="inlineStr">
        <is>
          <t>+ </t>
        </is>
      </c>
      <c r="F3306" s="2" t="inlineStr">
        <is>
          <t>+ </t>
        </is>
      </c>
      <c r="H3306" s="2">
        <v>881</v>
      </c>
      <c r="I3306" s="2" t="inlineStr">
        <is>
          <t>$</t>
        </is>
      </c>
      <c r="J3306" s="2">
        <f>HYPERLINK("https://app.astro.lead-studio.pro/product/5832d856-6ce3-4f46-b111-7eb734520227")</f>
      </c>
    </row>
    <row r="3307" spans="1:10" customHeight="0">
      <c r="A3307" s="2" t="inlineStr">
        <is>
          <t>Компьютеры</t>
        </is>
      </c>
      <c r="B3307" s="2" t="inlineStr">
        <is>
          <t>LENOVO</t>
        </is>
      </c>
      <c r="C3307" s="2" t="inlineStr">
        <is>
          <t>F0HN00A5RU</t>
        </is>
      </c>
      <c r="D3307" s="2" t="inlineStr">
        <is>
          <t>Моноблок Lenovo IdeaCentre 24IRH9 23.8" Full HD i7 13620H (2.4) 16Gb SSD1Tb UHDG noOS GbitEth WiFi BT 135W клавиатура мышь Cam серый 1920x1080</t>
        </is>
      </c>
      <c r="E3307" s="2" t="inlineStr">
        <is>
          <t>+ </t>
        </is>
      </c>
      <c r="F3307" s="2" t="inlineStr">
        <is>
          <t>+ </t>
        </is>
      </c>
      <c r="H3307" s="2">
        <v>1186</v>
      </c>
      <c r="I3307" s="2" t="inlineStr">
        <is>
          <t>$</t>
        </is>
      </c>
      <c r="J3307" s="2">
        <f>HYPERLINK("https://app.astro.lead-studio.pro/product/2ad97a30-fad2-40c7-a676-ff3617b2d17b")</f>
      </c>
    </row>
    <row r="3308" spans="1:10" customHeight="0">
      <c r="A3308" s="2" t="inlineStr">
        <is>
          <t>Компьютеры</t>
        </is>
      </c>
      <c r="B3308" s="2" t="inlineStr">
        <is>
          <t>LENOVO</t>
        </is>
      </c>
      <c r="C3308" s="2" t="inlineStr">
        <is>
          <t>F0HM008BRU</t>
        </is>
      </c>
      <c r="D3308" s="2" t="inlineStr">
        <is>
          <t>Моноблок Lenovo IdeaCentre 27IRH9 27" Full HD i3 1315U (1.2) 8Gb SSD256Gb UHDG noOS GbitEth WiFi BT 90W клавиатура мышь Cam серый 1920x1080</t>
        </is>
      </c>
      <c r="E3308" s="2" t="inlineStr">
        <is>
          <t>+ </t>
        </is>
      </c>
      <c r="F3308" s="2" t="inlineStr">
        <is>
          <t>+ </t>
        </is>
      </c>
      <c r="H3308" s="2">
        <v>914</v>
      </c>
      <c r="I3308" s="2" t="inlineStr">
        <is>
          <t>$</t>
        </is>
      </c>
      <c r="J3308" s="2">
        <f>HYPERLINK("https://app.astro.lead-studio.pro/product/39b5fba9-20be-4ac6-90e5-6bf01aa8cae5")</f>
      </c>
    </row>
    <row r="3309" spans="1:10" customHeight="0">
      <c r="A3309" s="2" t="inlineStr">
        <is>
          <t>Компьютеры</t>
        </is>
      </c>
      <c r="B3309" s="2" t="inlineStr">
        <is>
          <t>LENOVO</t>
        </is>
      </c>
      <c r="C3309" s="2" t="inlineStr">
        <is>
          <t>F0HM00FTRU</t>
        </is>
      </c>
      <c r="D3309" s="2" t="inlineStr">
        <is>
          <t>Моноблок Lenovo IdeaCentre 27IRH9 27" Full HD i5 13420H (2.1) 16Gb SSD512Gb UHDG noOS GbitEth WiFi BT 90W клавиатура мышь Cam серый 1920x1080</t>
        </is>
      </c>
      <c r="E3309" s="2" t="inlineStr">
        <is>
          <t>++ </t>
        </is>
      </c>
      <c r="F3309" s="2" t="inlineStr">
        <is>
          <t>++ </t>
        </is>
      </c>
      <c r="H3309" s="2">
        <v>1057</v>
      </c>
      <c r="I3309" s="2" t="inlineStr">
        <is>
          <t>$</t>
        </is>
      </c>
      <c r="J3309" s="2">
        <f>HYPERLINK("https://app.astro.lead-studio.pro/product/7458ec1c-1150-457b-95b0-b23f66aebe00")</f>
      </c>
    </row>
    <row r="3310" spans="1:10" customHeight="0">
      <c r="A3310" s="2" t="inlineStr">
        <is>
          <t>Компьютеры</t>
        </is>
      </c>
      <c r="B3310" s="2" t="inlineStr">
        <is>
          <t>LENOVO</t>
        </is>
      </c>
      <c r="C3310" s="2" t="inlineStr">
        <is>
          <t>F0HM008GRU</t>
        </is>
      </c>
      <c r="D3310" s="2" t="inlineStr">
        <is>
          <t>Моноблок Lenovo IdeaCentre 27IRH9 27" QHD i7 13620H (2.4) 16Gb SSD1Tb UHDG noOS GbitEth WiFi BT 135W клавиатура мышь Cam серый 2560x1440</t>
        </is>
      </c>
      <c r="E3310" s="2" t="inlineStr">
        <is>
          <t>+ </t>
        </is>
      </c>
      <c r="F3310" s="2" t="inlineStr">
        <is>
          <t>+ </t>
        </is>
      </c>
      <c r="H3310" s="2">
        <v>1396</v>
      </c>
      <c r="I3310" s="2" t="inlineStr">
        <is>
          <t>$</t>
        </is>
      </c>
      <c r="J3310" s="2">
        <f>HYPERLINK("https://app.astro.lead-studio.pro/product/6464f415-a63c-424f-a9c8-7370781aad27")</f>
      </c>
    </row>
    <row r="3311" spans="1:10" customHeight="0">
      <c r="A3311" s="2" t="inlineStr">
        <is>
          <t>Компьютеры</t>
        </is>
      </c>
      <c r="B3311" s="2" t="inlineStr">
        <is>
          <t>LENOVO</t>
        </is>
      </c>
      <c r="C3311" s="2" t="inlineStr">
        <is>
          <t>12SCA0AXRU</t>
        </is>
      </c>
      <c r="D3311" s="2" t="inlineStr">
        <is>
          <t>Моноблок Lenovo ThinkCentre neo 50a G5 23.8" Full HD i3 1315U (1.2) 8Gb SSD256Gb UHDG Windows 11 Professional GbitEth WiFi BT 90W клавиатура мышь Cam серый 1920x1080</t>
        </is>
      </c>
      <c r="E3311" s="2" t="inlineStr">
        <is>
          <t>+ </t>
        </is>
      </c>
      <c r="F3311" s="2" t="inlineStr">
        <is>
          <t>+ </t>
        </is>
      </c>
      <c r="H3311" s="2">
        <v>1216</v>
      </c>
      <c r="I3311" s="2" t="inlineStr">
        <is>
          <t>$</t>
        </is>
      </c>
      <c r="J3311" s="2">
        <f>HYPERLINK("https://app.astro.lead-studio.pro/product/aecddedc-e775-4635-9964-c76c126fcf14")</f>
      </c>
    </row>
    <row r="3312" spans="1:10" customHeight="0">
      <c r="A3312" s="2" t="inlineStr">
        <is>
          <t>Компьютеры</t>
        </is>
      </c>
      <c r="B3312" s="2" t="inlineStr">
        <is>
          <t>LENOVO</t>
        </is>
      </c>
      <c r="C3312" s="2" t="inlineStr">
        <is>
          <t>12SCA02ERU</t>
        </is>
      </c>
      <c r="D3312" s="2" t="inlineStr">
        <is>
          <t>Моноблок Lenovo ThinkCentre neo 50a G5 23.8" Full HD i3 1315U (1.2) 8Gb SSD256Gb UHDG без ОС GbitEth WiFi BT 135W клавиатура мышь Cam черный 1920x1080</t>
        </is>
      </c>
      <c r="E3312" s="2" t="inlineStr">
        <is>
          <t>+ </t>
        </is>
      </c>
      <c r="F3312" s="2" t="inlineStr">
        <is>
          <t>+ </t>
        </is>
      </c>
      <c r="H3312" s="2">
        <v>992</v>
      </c>
      <c r="I3312" s="2" t="inlineStr">
        <is>
          <t>$</t>
        </is>
      </c>
      <c r="J3312" s="2">
        <f>HYPERLINK("https://app.astro.lead-studio.pro/product/02788eb2-dae1-41c3-aa2b-6c2510a81f68")</f>
      </c>
    </row>
    <row r="3313" spans="1:10" customHeight="0">
      <c r="A3313" s="2" t="inlineStr">
        <is>
          <t>Компьютеры</t>
        </is>
      </c>
      <c r="B3313" s="2" t="inlineStr">
        <is>
          <t>LENOVO</t>
        </is>
      </c>
      <c r="C3313" s="2" t="inlineStr">
        <is>
          <t>12SCA0AYRU</t>
        </is>
      </c>
      <c r="D3313" s="2" t="inlineStr">
        <is>
          <t>Моноблок Lenovo ThinkCentre neo 50a G5 23.8" Full HD i3 1315U (1.2) 8Gb SSD512Gb UHDG Windows 11 Professional GbitEth WiFi BT 90W клавиатура мышь Cam серый 1920x1080</t>
        </is>
      </c>
      <c r="E3313" s="2" t="inlineStr">
        <is>
          <t>+ </t>
        </is>
      </c>
      <c r="F3313" s="2" t="inlineStr">
        <is>
          <t>+ </t>
        </is>
      </c>
      <c r="H3313" s="2">
        <v>1242</v>
      </c>
      <c r="I3313" s="2" t="inlineStr">
        <is>
          <t>$</t>
        </is>
      </c>
      <c r="J3313" s="2">
        <f>HYPERLINK("https://app.astro.lead-studio.pro/product/b24936a6-ae71-4ab9-93d8-75c2f1572152")</f>
      </c>
    </row>
    <row r="3314" spans="1:10" customHeight="0">
      <c r="A3314" s="2" t="inlineStr">
        <is>
          <t>Компьютеры</t>
        </is>
      </c>
      <c r="B3314" s="2" t="inlineStr">
        <is>
          <t>LENOVO</t>
        </is>
      </c>
      <c r="C3314" s="2" t="inlineStr">
        <is>
          <t>12SDA064RU</t>
        </is>
      </c>
      <c r="D3314" s="2" t="inlineStr">
        <is>
          <t>Моноблок Lenovo ThinkCentre neo 50a G5 23.8" Full HD i5 13420H (2.1) 16Gb SSD512Gb UHDG Windows 11 Professional GbitEth WiFi BT 90W клавиатура мышь Cam серый 1920x1080</t>
        </is>
      </c>
      <c r="E3314" s="2" t="inlineStr">
        <is>
          <t>+ </t>
        </is>
      </c>
      <c r="F3314" s="2" t="inlineStr">
        <is>
          <t>+ </t>
        </is>
      </c>
      <c r="H3314" s="2">
        <v>1328</v>
      </c>
      <c r="I3314" s="2" t="inlineStr">
        <is>
          <t>$</t>
        </is>
      </c>
      <c r="J3314" s="2">
        <f>HYPERLINK("https://app.astro.lead-studio.pro/product/bbab581d-ea37-48b0-8923-f0840da7a5b4")</f>
      </c>
    </row>
    <row r="3315" spans="1:10" customHeight="0">
      <c r="A3315" s="2" t="inlineStr">
        <is>
          <t>Компьютеры</t>
        </is>
      </c>
      <c r="B3315" s="2" t="inlineStr">
        <is>
          <t>LENOVO</t>
        </is>
      </c>
      <c r="C3315" s="2" t="inlineStr">
        <is>
          <t>12SCA0B0RU</t>
        </is>
      </c>
      <c r="D3315" s="2" t="inlineStr">
        <is>
          <t>Моноблок Lenovo ThinkCentre neo 50a G5 23.8" Full HD i7 13620H (2.4) 16Gb SSD1Tb UHDG Windows 11 Professional GbitEth WiFi BT 90W клавиатура мышь Cam серый 1920x1080</t>
        </is>
      </c>
      <c r="E3315" s="2" t="inlineStr">
        <is>
          <t>+ </t>
        </is>
      </c>
      <c r="F3315" s="2" t="inlineStr">
        <is>
          <t>+ </t>
        </is>
      </c>
      <c r="H3315" s="2">
        <v>1496</v>
      </c>
      <c r="I3315" s="2" t="inlineStr">
        <is>
          <t>$</t>
        </is>
      </c>
      <c r="J3315" s="2">
        <f>HYPERLINK("https://app.astro.lead-studio.pro/product/cd2f2dd1-6481-4bb5-be6c-c864d9aabda5")</f>
      </c>
    </row>
    <row r="3316" spans="1:10" customHeight="0">
      <c r="A3316" s="2" t="inlineStr">
        <is>
          <t>Компьютеры</t>
        </is>
      </c>
      <c r="B3316" s="2" t="inlineStr">
        <is>
          <t>LENOVO</t>
        </is>
      </c>
      <c r="C3316" s="2" t="inlineStr">
        <is>
          <t>12SCA02GRU</t>
        </is>
      </c>
      <c r="D3316" s="2" t="inlineStr">
        <is>
          <t>Моноблок Lenovo ThinkCentre neo 50a G5 23.8" Full HD i7 13620H (2.4) 16Gb SSD1Tb UHDG без ОС GbitEth WiFi BT 135W клавиатура мышь Cam черный 1920x1080</t>
        </is>
      </c>
      <c r="E3316" s="2" t="inlineStr">
        <is>
          <t>+ </t>
        </is>
      </c>
      <c r="F3316" s="2" t="inlineStr">
        <is>
          <t>+ </t>
        </is>
      </c>
      <c r="H3316" s="2">
        <v>1281</v>
      </c>
      <c r="I3316" s="2" t="inlineStr">
        <is>
          <t>$</t>
        </is>
      </c>
      <c r="J3316" s="2">
        <f>HYPERLINK("https://app.astro.lead-studio.pro/product/90574b4c-d4fc-4531-9849-4cecd8dc8141")</f>
      </c>
    </row>
    <row r="3317" spans="1:10" customHeight="0">
      <c r="A3317" s="2" t="inlineStr">
        <is>
          <t>Компьютеры</t>
        </is>
      </c>
      <c r="B3317" s="2" t="inlineStr">
        <is>
          <t>MSI</t>
        </is>
      </c>
      <c r="C3317" s="2" t="inlineStr">
        <is>
          <t>9S6-AE0722-1020</t>
        </is>
      </c>
      <c r="D3317" s="2" t="inlineStr">
        <is>
          <t>Моноблок MSI Modern AM242P 1M-1020XRU 23.8" Full HD Core 7 150U (1.8) 16Gb SSD512Gb Graphics без ОС GbitEth WiFi BT 120W клавиатура мышь Cam белый 1920x1080</t>
        </is>
      </c>
      <c r="E3317" s="2" t="inlineStr">
        <is>
          <t>+++ </t>
        </is>
      </c>
      <c r="F3317" s="2" t="inlineStr">
        <is>
          <t>+++ </t>
        </is>
      </c>
      <c r="H3317" s="2">
        <v>877</v>
      </c>
      <c r="I3317" s="2" t="inlineStr">
        <is>
          <t>$</t>
        </is>
      </c>
      <c r="J3317" s="2">
        <f>HYPERLINK("https://app.astro.lead-studio.pro/product/0c530802-80b3-4c8a-8996-1a317fe1779b")</f>
      </c>
    </row>
    <row r="3318" spans="1:10" customHeight="0">
      <c r="A3318" s="2" t="inlineStr">
        <is>
          <t>Компьютеры</t>
        </is>
      </c>
      <c r="B3318" s="2" t="inlineStr">
        <is>
          <t>MSI</t>
        </is>
      </c>
      <c r="C3318" s="2" t="inlineStr">
        <is>
          <t>9S6-AE0722-1022</t>
        </is>
      </c>
      <c r="D3318" s="2" t="inlineStr">
        <is>
          <t>Моноблок MSI Modern AM242P 1M-1022XRU 23.8" Full HD Core 5 120U (1.4) 16Gb SSD512Gb Graphics без ОС GbitEth WiFi BT 120W клавиатура мышь Cam белый 1920x1080</t>
        </is>
      </c>
      <c r="E3318" s="2" t="inlineStr">
        <is>
          <t>+++ </t>
        </is>
      </c>
      <c r="F3318" s="2" t="inlineStr">
        <is>
          <t>+++ </t>
        </is>
      </c>
      <c r="H3318" s="2">
        <v>916</v>
      </c>
      <c r="I3318" s="2" t="inlineStr">
        <is>
          <t>$</t>
        </is>
      </c>
      <c r="J3318" s="2">
        <f>HYPERLINK("https://app.astro.lead-studio.pro/product/e8603a84-31dc-4f34-81e2-494cb8805a7b")</f>
      </c>
    </row>
    <row r="3319" spans="1:10" customHeight="0">
      <c r="A3319" s="2" t="inlineStr">
        <is>
          <t>Компьютеры</t>
        </is>
      </c>
      <c r="B3319" s="2" t="inlineStr">
        <is>
          <t>MSI</t>
        </is>
      </c>
      <c r="C3319" s="2" t="inlineStr">
        <is>
          <t>9S6-AE0722-1023</t>
        </is>
      </c>
      <c r="D3319" s="2" t="inlineStr">
        <is>
          <t>Моноблок MSI Modern AM242P 1M-1023XRU 23.8" Full HD Core 5 120U (1.4) 16Gb 1Tb 7.2k SSD256Gb Graphics без ОС GbitEth WiFi BT 120W клавиатура мышь Cam белый 1920x1080</t>
        </is>
      </c>
      <c r="E3319" s="2" t="inlineStr">
        <is>
          <t>+ </t>
        </is>
      </c>
      <c r="F3319" s="2" t="inlineStr">
        <is>
          <t>+ </t>
        </is>
      </c>
      <c r="H3319" s="2">
        <v>892</v>
      </c>
      <c r="I3319" s="2" t="inlineStr">
        <is>
          <t>$</t>
        </is>
      </c>
      <c r="J3319" s="2">
        <f>HYPERLINK("https://app.astro.lead-studio.pro/product/c154a8ca-38e3-4e0e-81e4-ee234e547cfc")</f>
      </c>
    </row>
    <row r="3320" spans="1:10" customHeight="0">
      <c r="A3320" s="2" t="inlineStr">
        <is>
          <t>Компьютеры</t>
        </is>
      </c>
      <c r="B3320" s="2" t="inlineStr">
        <is>
          <t>MSI</t>
        </is>
      </c>
      <c r="C3320" s="2" t="inlineStr">
        <is>
          <t>9S6-AE0721-1027</t>
        </is>
      </c>
      <c r="D3320" s="2" t="inlineStr">
        <is>
          <t>Моноблок MSI Modern AM242P 1M-1027XRU 23.8" Full HD Core 7 150U (1.8) 16Gb SSD512Gb Graphics без ОС GbitEth WiFi BT 120W клавиатура мышь Cam черный 1920x1080</t>
        </is>
      </c>
      <c r="E3320" s="2" t="inlineStr">
        <is>
          <t>++ </t>
        </is>
      </c>
      <c r="F3320" s="2" t="inlineStr">
        <is>
          <t>++ </t>
        </is>
      </c>
      <c r="H3320" s="2">
        <v>857</v>
      </c>
      <c r="I3320" s="2" t="inlineStr">
        <is>
          <t>$</t>
        </is>
      </c>
      <c r="J3320" s="2">
        <f>HYPERLINK("https://app.astro.lead-studio.pro/product/61c16f4e-2cc4-4a54-8a48-ddcbb16a5e73")</f>
      </c>
    </row>
    <row r="3321" spans="1:10" customHeight="0">
      <c r="A3321" s="2" t="inlineStr">
        <is>
          <t>Компьютеры</t>
        </is>
      </c>
      <c r="B3321" s="2" t="inlineStr">
        <is>
          <t>MSI</t>
        </is>
      </c>
      <c r="C3321" s="2" t="inlineStr">
        <is>
          <t>9S6-AE0721-1028</t>
        </is>
      </c>
      <c r="D3321" s="2" t="inlineStr">
        <is>
          <t>Моноблок MSI Modern AM242P 1M-1028RU 23.8" Full HD Core 5 120U (1.4) 16Gb SSD512Gb Graphics Windows 11 Pro GbitEth WiFi BT 120W клавиатура мышь Cam черный 1920x1080</t>
        </is>
      </c>
      <c r="E3321" s="2" t="inlineStr">
        <is>
          <t>+ </t>
        </is>
      </c>
      <c r="F3321" s="2" t="inlineStr">
        <is>
          <t>+ </t>
        </is>
      </c>
      <c r="H3321" s="2">
        <v>1085</v>
      </c>
      <c r="I3321" s="2" t="inlineStr">
        <is>
          <t>$</t>
        </is>
      </c>
      <c r="J3321" s="2">
        <f>HYPERLINK("https://app.astro.lead-studio.pro/product/4eaf2d46-0126-41fe-837b-d650c3ba7f59")</f>
      </c>
    </row>
    <row r="3322" spans="1:10" customHeight="0">
      <c r="A3322" s="2" t="inlineStr">
        <is>
          <t>Компьютеры</t>
        </is>
      </c>
      <c r="B3322" s="2" t="inlineStr">
        <is>
          <t>MSI</t>
        </is>
      </c>
      <c r="C3322" s="2" t="inlineStr">
        <is>
          <t>9S6-AE0721-1029</t>
        </is>
      </c>
      <c r="D3322" s="2" t="inlineStr">
        <is>
          <t>Моноблок MSI Modern AM242P 1M-1029XRU 23.8" Full HD Core 5 120U (1.4) 16Gb SSD512Gb Graphics без ОС GbitEth WiFi BT 120W клавиатура мышь Cam черный 1920x1080</t>
        </is>
      </c>
      <c r="E3322" s="2" t="inlineStr">
        <is>
          <t>+++ </t>
        </is>
      </c>
      <c r="F3322" s="2" t="inlineStr">
        <is>
          <t>+++ </t>
        </is>
      </c>
      <c r="H3322" s="2">
        <v>947</v>
      </c>
      <c r="I3322" s="2" t="inlineStr">
        <is>
          <t>$</t>
        </is>
      </c>
      <c r="J3322" s="2">
        <f>HYPERLINK("https://app.astro.lead-studio.pro/product/98efc904-ec3a-4b62-a4fe-828124475b9e")</f>
      </c>
    </row>
    <row r="3323" spans="1:10" customHeight="0">
      <c r="A3323" s="2" t="inlineStr">
        <is>
          <t>Компьютеры</t>
        </is>
      </c>
      <c r="B3323" s="2" t="inlineStr">
        <is>
          <t>MSI</t>
        </is>
      </c>
      <c r="C3323" s="2" t="inlineStr">
        <is>
          <t>9S6-AE0721-1030</t>
        </is>
      </c>
      <c r="D3323" s="2" t="inlineStr">
        <is>
          <t>Моноблок MSI Modern AM242P 1M-1030XRU 23.8" Full HD Core 5 120U (1.4) 16Gb 1Tb 7.2k SSD256Gb Graphics noOS GbitEth WiFi BT 120W клавиатура мышь Cam черный 1920x1080</t>
        </is>
      </c>
      <c r="E3323" s="2" t="inlineStr">
        <is>
          <t>+ </t>
        </is>
      </c>
      <c r="F3323" s="2" t="inlineStr">
        <is>
          <t>+ </t>
        </is>
      </c>
      <c r="H3323" s="2">
        <v>872</v>
      </c>
      <c r="I3323" s="2" t="inlineStr">
        <is>
          <t>$</t>
        </is>
      </c>
      <c r="J3323" s="2">
        <f>HYPERLINK("https://app.astro.lead-studio.pro/product/4f471ded-0860-40e8-8c42-37c91f779cd3")</f>
      </c>
    </row>
    <row r="3324" spans="1:10" customHeight="0">
      <c r="A3324" s="2" t="inlineStr">
        <is>
          <t>Компьютеры</t>
        </is>
      </c>
      <c r="B3324" s="2" t="inlineStr">
        <is>
          <t>MSI</t>
        </is>
      </c>
      <c r="C3324" s="2" t="inlineStr">
        <is>
          <t>9S6-AE0722-1019</t>
        </is>
      </c>
      <c r="D3324" s="2" t="inlineStr">
        <is>
          <t>Моноблок MSI Modern AM242TP 1M-1019XRU 23.8" Full HD Touch Core 5 120U (1.4) 16Gb SSD512Gb Graphics без ОС GbitEth WiFi BT 120W клавиатура мышь Cam белый 1920x1080</t>
        </is>
      </c>
      <c r="E3324" s="2" t="inlineStr">
        <is>
          <t>+ </t>
        </is>
      </c>
      <c r="F3324" s="2" t="inlineStr">
        <is>
          <t>+ </t>
        </is>
      </c>
      <c r="H3324" s="2">
        <v>938</v>
      </c>
      <c r="I3324" s="2" t="inlineStr">
        <is>
          <t>$</t>
        </is>
      </c>
      <c r="J3324" s="2">
        <f>HYPERLINK("https://app.astro.lead-studio.pro/product/61104214-94a3-4c74-9f68-4c3be885c99c")</f>
      </c>
    </row>
    <row r="3325" spans="1:10" customHeight="0">
      <c r="A3325" s="2" t="inlineStr">
        <is>
          <t>Компьютеры</t>
        </is>
      </c>
      <c r="B3325" s="2" t="inlineStr">
        <is>
          <t>MSI</t>
        </is>
      </c>
      <c r="C3325" s="2" t="inlineStr">
        <is>
          <t>9S6-AE0721-1026</t>
        </is>
      </c>
      <c r="D3325" s="2" t="inlineStr">
        <is>
          <t>Моноблок MSI Modern AM242TP 1M-1026XRU 23.8" Full HD Touch Core 5 120U (1.4) 16Gb SSD512Gb Graphics без ОС GbitEth WiFi BT 120W клавиатура мышь Cam черный 1920x1080</t>
        </is>
      </c>
      <c r="E3325" s="2" t="inlineStr">
        <is>
          <t>+ </t>
        </is>
      </c>
      <c r="F3325" s="2" t="inlineStr">
        <is>
          <t>+ </t>
        </is>
      </c>
      <c r="H3325" s="2">
        <v>938</v>
      </c>
      <c r="I3325" s="2" t="inlineStr">
        <is>
          <t>$</t>
        </is>
      </c>
      <c r="J3325" s="2">
        <f>HYPERLINK("https://app.astro.lead-studio.pro/product/2cc0dd96-ecfa-4fdc-9c66-5217272eaffb")</f>
      </c>
    </row>
    <row r="3326" spans="1:10" customHeight="0">
      <c r="A3326" s="2" t="inlineStr">
        <is>
          <t>Компьютеры</t>
        </is>
      </c>
      <c r="B3326" s="2" t="inlineStr">
        <is>
          <t>MSI</t>
        </is>
      </c>
      <c r="C3326" s="2" t="inlineStr">
        <is>
          <t>9S6-AF8232-889</t>
        </is>
      </c>
      <c r="D3326" s="2" t="inlineStr">
        <is>
          <t>Моноблок MSI Modern AM272P 1M-675XRU 27" Full HD Core 5 120U (1.4) 16Gb SSD512Gb Graphics без ОС GbitEth WiFi BT 120W клавиатура мышь Cam белый 1920x1080</t>
        </is>
      </c>
      <c r="E3326" s="2" t="inlineStr">
        <is>
          <t>++ </t>
        </is>
      </c>
      <c r="F3326" s="2" t="inlineStr">
        <is>
          <t>++ </t>
        </is>
      </c>
      <c r="H3326" s="2">
        <v>967</v>
      </c>
      <c r="I3326" s="2" t="inlineStr">
        <is>
          <t>$</t>
        </is>
      </c>
      <c r="J3326" s="2">
        <f>HYPERLINK("https://app.astro.lead-studio.pro/product/d7b2b69e-3c58-4eee-b765-8c78eed992db")</f>
      </c>
    </row>
    <row r="3327" spans="1:10" customHeight="0">
      <c r="A3327" s="2" t="inlineStr">
        <is>
          <t>Компьютеры</t>
        </is>
      </c>
      <c r="B3327" s="2" t="inlineStr">
        <is>
          <t>MSI</t>
        </is>
      </c>
      <c r="C3327" s="2" t="inlineStr">
        <is>
          <t>9S6-AF8232-1025</t>
        </is>
      </c>
      <c r="D3327" s="2" t="inlineStr">
        <is>
          <t>Моноблок MSI Modern AM272P 1M-678XRU 27" Full HD Core 7 150U (1.8) 16Gb SSD512Gb Graphics без ОС GbitEth WiFi BT 120W клавиатура мышь Cam белый 1920x1080</t>
        </is>
      </c>
      <c r="E3327" s="2" t="inlineStr">
        <is>
          <t>+ </t>
        </is>
      </c>
      <c r="F3327" s="2" t="inlineStr">
        <is>
          <t>+ </t>
        </is>
      </c>
      <c r="H3327" s="2">
        <v>1035</v>
      </c>
      <c r="I3327" s="2" t="inlineStr">
        <is>
          <t>$</t>
        </is>
      </c>
      <c r="J3327" s="2">
        <f>HYPERLINK("https://app.astro.lead-studio.pro/product/43744076-8f77-44b0-8e36-463770938240")</f>
      </c>
    </row>
    <row r="3328" spans="1:10" customHeight="0">
      <c r="A3328" s="2" t="inlineStr">
        <is>
          <t>Компьютеры</t>
        </is>
      </c>
      <c r="B3328" s="2" t="inlineStr">
        <is>
          <t>MSI</t>
        </is>
      </c>
      <c r="C3328" s="2" t="inlineStr">
        <is>
          <t>9S6-AF8231-679</t>
        </is>
      </c>
      <c r="D3328" s="2" t="inlineStr">
        <is>
          <t>Моноблок MSI Modern AM272P 1M-679XRU 27" Full HD Core 7 150U (1.8) 16Gb SSD512Gb Graphics без ОС GbitEth WiFi BT 120W клавиатура мышь Cam черный 1920x1080</t>
        </is>
      </c>
      <c r="E3328" s="2" t="inlineStr">
        <is>
          <t>+ </t>
        </is>
      </c>
      <c r="F3328" s="2" t="inlineStr">
        <is>
          <t>+ </t>
        </is>
      </c>
      <c r="H3328" s="2">
        <v>1047</v>
      </c>
      <c r="I3328" s="2" t="inlineStr">
        <is>
          <t>$</t>
        </is>
      </c>
      <c r="J3328" s="2">
        <f>HYPERLINK("https://app.astro.lead-studio.pro/product/cf320767-fae3-470f-b6e6-8a15c655394d")</f>
      </c>
    </row>
    <row r="3329" spans="1:10" customHeight="0">
      <c r="A3329" s="2" t="inlineStr">
        <is>
          <t>Компьютеры</t>
        </is>
      </c>
      <c r="B3329" s="2" t="inlineStr">
        <is>
          <t>MSI</t>
        </is>
      </c>
      <c r="C3329" s="2" t="inlineStr">
        <is>
          <t>9S6-AF8231-890</t>
        </is>
      </c>
      <c r="D3329" s="2" t="inlineStr">
        <is>
          <t>Моноблок MSI Modern AM272P 1M-681XRU 27" Full HD Core 5 120U (1.4) 16Gb SSD512Gb Graphics без ОС GbitEth WiFi BT 120W клавиатура мышь Cam черный 1920x1080</t>
        </is>
      </c>
      <c r="E3329" s="2" t="inlineStr">
        <is>
          <t>+++ </t>
        </is>
      </c>
      <c r="F3329" s="2" t="inlineStr">
        <is>
          <t>+++ </t>
        </is>
      </c>
      <c r="H3329" s="2">
        <v>953</v>
      </c>
      <c r="I3329" s="2" t="inlineStr">
        <is>
          <t>$</t>
        </is>
      </c>
      <c r="J3329" s="2">
        <f>HYPERLINK("https://app.astro.lead-studio.pro/product/15f74834-1883-46f7-947c-81fee9332b7b")</f>
      </c>
    </row>
    <row r="3330" spans="1:10" customHeight="0">
      <c r="A3330" s="2" t="inlineStr">
        <is>
          <t>Компьютеры</t>
        </is>
      </c>
      <c r="B3330" s="2" t="inlineStr">
        <is>
          <t>MSI</t>
        </is>
      </c>
      <c r="C3330" s="2" t="inlineStr">
        <is>
          <t>9S6-AF8231-682</t>
        </is>
      </c>
      <c r="D3330" s="2" t="inlineStr">
        <is>
          <t>Моноблок MSI Modern AM272P 1M-682XRU 27" Full HD Core 3 100U (1.2) 16Gb SSD512Gb Graphics без ОС GbitEth WiFi BT 120W клавиатура мышь Cam черный 1920x1080</t>
        </is>
      </c>
      <c r="E3330" s="2" t="inlineStr">
        <is>
          <t>+ </t>
        </is>
      </c>
      <c r="F3330" s="2" t="inlineStr">
        <is>
          <t>+ </t>
        </is>
      </c>
      <c r="H3330" s="2">
        <v>853</v>
      </c>
      <c r="I3330" s="2" t="inlineStr">
        <is>
          <t>$</t>
        </is>
      </c>
      <c r="J3330" s="2">
        <f>HYPERLINK("https://app.astro.lead-studio.pro/product/91a6e2b4-7403-4819-99b7-846841cd2a4d")</f>
      </c>
    </row>
    <row r="3331" spans="1:10" customHeight="0">
      <c r="A3331" s="2" t="inlineStr">
        <is>
          <t>Компьютеры</t>
        </is>
      </c>
      <c r="B3331" s="2" t="inlineStr">
        <is>
          <t>MSI</t>
        </is>
      </c>
      <c r="C3331" s="2" t="inlineStr">
        <is>
          <t>9S6-AF8232-1022</t>
        </is>
      </c>
      <c r="D3331" s="2" t="inlineStr">
        <is>
          <t>Моноблок MSI Modern AM272P 1M-685XRU 27" Full HD Core 7 150U (1.8) 32Gb SSD1Tb Graphics без ОС GbitEth WiFi BT 120W клавиатура мышь Cam белый 1920x1080</t>
        </is>
      </c>
      <c r="E3331" s="2" t="inlineStr">
        <is>
          <t>+ </t>
        </is>
      </c>
      <c r="F3331" s="2" t="inlineStr">
        <is>
          <t>+ </t>
        </is>
      </c>
      <c r="H3331" s="2">
        <v>1187</v>
      </c>
      <c r="I3331" s="2" t="inlineStr">
        <is>
          <t>$</t>
        </is>
      </c>
      <c r="J3331" s="2">
        <f>HYPERLINK("https://app.astro.lead-studio.pro/product/0b1e9162-7aee-4310-af2c-5c8a8ab3080d")</f>
      </c>
    </row>
    <row r="3332" spans="1:10" customHeight="0">
      <c r="A3332" s="2" t="inlineStr">
        <is>
          <t>Компьютеры</t>
        </is>
      </c>
      <c r="B3332" s="2" t="inlineStr">
        <is>
          <t>MSI</t>
        </is>
      </c>
      <c r="C3332" s="2" t="inlineStr">
        <is>
          <t>9S6-AF8231-1023</t>
        </is>
      </c>
      <c r="D3332" s="2" t="inlineStr">
        <is>
          <t>Моноблок MSI Modern AM272P 1M-687XRU 27" Full HD Core 7 150U (1.8) 32Gb SSD1Tb Graphics без ОС GbitEth WiFi BT 120W клавиатура мышь Cam черный 1920x1080</t>
        </is>
      </c>
      <c r="E3332" s="2" t="inlineStr">
        <is>
          <t>+ </t>
        </is>
      </c>
      <c r="F3332" s="2" t="inlineStr">
        <is>
          <t>+ </t>
        </is>
      </c>
      <c r="H3332" s="2">
        <v>1167</v>
      </c>
      <c r="I3332" s="2" t="inlineStr">
        <is>
          <t>$</t>
        </is>
      </c>
      <c r="J3332" s="2">
        <f>HYPERLINK("https://app.astro.lead-studio.pro/product/10adc94a-e585-4646-924a-46e54d168a3f")</f>
      </c>
    </row>
    <row r="3333" spans="1:10" customHeight="0">
      <c r="A3333" s="2" t="inlineStr">
        <is>
          <t>Компьютеры</t>
        </is>
      </c>
      <c r="B3333" s="2" t="inlineStr">
        <is>
          <t>MSI</t>
        </is>
      </c>
      <c r="C3333" s="2" t="inlineStr">
        <is>
          <t>9S6-AF8231-687</t>
        </is>
      </c>
      <c r="D3333" s="2" t="inlineStr">
        <is>
          <t>Моноблок MSI Modern AM272P 1M-687XRU 27" Full HD Core 7 150U (1.8) 32Gb SSD1Tb Graphics без ОС GbitEth WiFi BT 120W клавиатура мышь Cam черный 1920x1080</t>
        </is>
      </c>
      <c r="E3333" s="2" t="inlineStr">
        <is>
          <t>+ </t>
        </is>
      </c>
      <c r="F3333" s="2" t="inlineStr">
        <is>
          <t>+ </t>
        </is>
      </c>
      <c r="H3333" s="2">
        <v>1067</v>
      </c>
      <c r="I3333" s="2" t="inlineStr">
        <is>
          <t>$</t>
        </is>
      </c>
      <c r="J3333" s="2">
        <f>HYPERLINK("https://app.astro.lead-studio.pro/product/d27296db-6431-400e-8549-5d6c82017c5e")</f>
      </c>
    </row>
    <row r="3334" spans="1:10" customHeight="0">
      <c r="A3334" s="2" t="inlineStr">
        <is>
          <t>Компьютеры</t>
        </is>
      </c>
      <c r="B3334" s="2" t="inlineStr">
        <is>
          <t>MSI</t>
        </is>
      </c>
      <c r="C3334" s="2" t="inlineStr">
        <is>
          <t>9S6-AF0112-047</t>
        </is>
      </c>
      <c r="D3334" s="2" t="inlineStr">
        <is>
          <t>Моноблок MSI Modern AM273Q AI 1UM-047XRU 27" WQHD Core Ultra 5 125U (1.3) 16Gb SSD512Gb Graphics CR noOS GbitEth WiFi BT 120W клавиатура мышь Cam черный 2560x1440</t>
        </is>
      </c>
      <c r="E3334" s="2" t="inlineStr">
        <is>
          <t>+++ </t>
        </is>
      </c>
      <c r="F3334" s="2" t="inlineStr">
        <is>
          <t>+++ </t>
        </is>
      </c>
      <c r="H3334" s="2">
        <v>1052</v>
      </c>
      <c r="I3334" s="2" t="inlineStr">
        <is>
          <t>$</t>
        </is>
      </c>
      <c r="J3334" s="2">
        <f>HYPERLINK("https://app.astro.lead-studio.pro/product/c6ea06ff-0ee6-4b70-99ab-1019fa2fd93d")</f>
      </c>
    </row>
    <row r="3335" spans="1:10" customHeight="0">
      <c r="A3335" s="2" t="inlineStr">
        <is>
          <t>Компьютеры</t>
        </is>
      </c>
      <c r="B3335" s="2" t="inlineStr">
        <is>
          <t>MSI</t>
        </is>
      </c>
      <c r="C3335" s="2" t="inlineStr">
        <is>
          <t>9S6-AF0111-001</t>
        </is>
      </c>
      <c r="D3335" s="2" t="inlineStr">
        <is>
          <t>Моноблок MSI Modern AM273QP AI 1UM-001RU 27" WQHD Core Ultra 7 155U (1.7) 32Gb SSD1Tb Graphics CR Windows 11 Professional 2.5Gigabit WiFi BT 120W клавиатура мышь Cam черный 2560x1440</t>
        </is>
      </c>
      <c r="E3335" s="2" t="inlineStr">
        <is>
          <t>+ </t>
        </is>
      </c>
      <c r="F3335" s="2" t="inlineStr">
        <is>
          <t>+ </t>
        </is>
      </c>
      <c r="H3335" s="2">
        <v>1491</v>
      </c>
      <c r="I3335" s="2" t="inlineStr">
        <is>
          <t>$</t>
        </is>
      </c>
      <c r="J3335" s="2">
        <f>HYPERLINK("https://app.astro.lead-studio.pro/product/c1ad4d36-2db1-41d3-96a6-7a7c73e79bee")</f>
      </c>
    </row>
    <row r="3336" spans="1:10" customHeight="0">
      <c r="A3336" s="2" t="inlineStr">
        <is>
          <t>Компьютеры</t>
        </is>
      </c>
      <c r="B3336" s="2" t="inlineStr">
        <is>
          <t>MSI</t>
        </is>
      </c>
      <c r="C3336" s="2" t="inlineStr">
        <is>
          <t>9S6-AF0111-002</t>
        </is>
      </c>
      <c r="D3336" s="2" t="inlineStr">
        <is>
          <t>Моноблок MSI Modern AM273QP AI 1UM-002XRU 27" WQHD Core Ultra 7 155U (1.7) 32Gb SSD1Tb Graphics CR noOS 2.5Gigabit WiFi BT 120W клавиатура мышь Cam черный 2560x1440</t>
        </is>
      </c>
      <c r="E3336" s="2" t="inlineStr">
        <is>
          <t>++ </t>
        </is>
      </c>
      <c r="F3336" s="2" t="inlineStr">
        <is>
          <t>++ </t>
        </is>
      </c>
      <c r="H3336" s="2">
        <v>1420</v>
      </c>
      <c r="I3336" s="2" t="inlineStr">
        <is>
          <t>$</t>
        </is>
      </c>
      <c r="J3336" s="2">
        <f>HYPERLINK("https://app.astro.lead-studio.pro/product/6193566b-f5f1-4056-8d4e-781956d898ee")</f>
      </c>
    </row>
    <row r="3337" spans="1:10" customHeight="0">
      <c r="A3337" s="2" t="inlineStr">
        <is>
          <t>Компьютеры</t>
        </is>
      </c>
      <c r="B3337" s="2" t="inlineStr">
        <is>
          <t>MSI</t>
        </is>
      </c>
      <c r="C3337" s="2" t="inlineStr">
        <is>
          <t>9S6-AF0111-003</t>
        </is>
      </c>
      <c r="D3337" s="2" t="inlineStr">
        <is>
          <t>Моноблок MSI Modern AM273QP AI 1UM-003XRU 27" WQHD Core Ultra 7 155U (1.7) 16Gb SSD1Tb Graphics CR noOS 2.5Gigabit WiFi BT 120W клавиатура мышь Cam черный 2560x1440</t>
        </is>
      </c>
      <c r="E3337" s="2" t="inlineStr">
        <is>
          <t>++ </t>
        </is>
      </c>
      <c r="F3337" s="2" t="inlineStr">
        <is>
          <t>++ </t>
        </is>
      </c>
      <c r="H3337" s="2">
        <v>1171</v>
      </c>
      <c r="I3337" s="2" t="inlineStr">
        <is>
          <t>$</t>
        </is>
      </c>
      <c r="J3337" s="2">
        <f>HYPERLINK("https://app.astro.lead-studio.pro/product/185784e8-8422-47dd-8f1c-7d96f715333e")</f>
      </c>
    </row>
    <row r="3338" spans="1:10" customHeight="0">
      <c r="A3338" s="2" t="inlineStr">
        <is>
          <t>Компьютеры</t>
        </is>
      </c>
      <c r="B3338" s="2" t="inlineStr">
        <is>
          <t>MSI</t>
        </is>
      </c>
      <c r="C3338" s="2" t="inlineStr">
        <is>
          <t>9S6-AF0111-004</t>
        </is>
      </c>
      <c r="D3338" s="2" t="inlineStr">
        <is>
          <t>Моноблок MSI Modern AM273QP AI 1UM-004RU 27" WQHD Core Ultra 5 125U (1.3) 16Gb SSD512Gb Graphics CR Windows 11 Professional 2.5Gigabit WiFi BT 120W клавиатура мышь Cam черный 2560x1440</t>
        </is>
      </c>
      <c r="E3338" s="2" t="inlineStr">
        <is>
          <t>+ </t>
        </is>
      </c>
      <c r="F3338" s="2" t="inlineStr">
        <is>
          <t>+ </t>
        </is>
      </c>
      <c r="H3338" s="2">
        <v>1278</v>
      </c>
      <c r="I3338" s="2" t="inlineStr">
        <is>
          <t>$</t>
        </is>
      </c>
      <c r="J3338" s="2">
        <f>HYPERLINK("https://app.astro.lead-studio.pro/product/e66832af-e0ee-483e-8e12-47caaec2004a")</f>
      </c>
    </row>
    <row r="3339" spans="1:10" customHeight="0">
      <c r="A3339" s="2" t="inlineStr">
        <is>
          <t>Компьютеры</t>
        </is>
      </c>
      <c r="B3339" s="2" t="inlineStr">
        <is>
          <t>MSI</t>
        </is>
      </c>
      <c r="C3339" s="2" t="inlineStr">
        <is>
          <t>9S6-AF0111-005</t>
        </is>
      </c>
      <c r="D3339" s="2" t="inlineStr">
        <is>
          <t>Моноблок MSI Modern AM273QP AI 1UM-005XRU 27" WQHD Core Ultra 5 125U (1.3) 16Gb SSD512Gb Graphics CR noOS 2.5Gigabit WiFi BT 120W клавиатура мышь Cam черный 2560x1440</t>
        </is>
      </c>
      <c r="E3339" s="2" t="inlineStr">
        <is>
          <t>+++ </t>
        </is>
      </c>
      <c r="F3339" s="2" t="inlineStr">
        <is>
          <t>+++ </t>
        </is>
      </c>
      <c r="H3339" s="2">
        <v>1075</v>
      </c>
      <c r="I3339" s="2" t="inlineStr">
        <is>
          <t>$</t>
        </is>
      </c>
      <c r="J3339" s="2">
        <f>HYPERLINK("https://app.astro.lead-studio.pro/product/febffecf-af72-4626-b530-28d60decc5d8")</f>
      </c>
    </row>
    <row r="3340" spans="1:10" customHeight="0">
      <c r="A3340" s="2" t="inlineStr">
        <is>
          <t>Компьютеры</t>
        </is>
      </c>
      <c r="B3340" s="2" t="inlineStr">
        <is>
          <t>MSI</t>
        </is>
      </c>
      <c r="C3340" s="2" t="inlineStr">
        <is>
          <t>9S6-A60211-032</t>
        </is>
      </c>
      <c r="D3340" s="2" t="inlineStr">
        <is>
          <t>Моноблок MSI Pro AP162T ADL-012XRU 15.6" Full HD Touch N100 (0.8) 4Gb SSD128Gb UHDG CR noOS 2xGbitEth WiFi BT 65W клавиатура мышь Cam черный 1920x1080</t>
        </is>
      </c>
      <c r="E3340" s="2" t="inlineStr">
        <is>
          <t>+++ </t>
        </is>
      </c>
      <c r="F3340" s="2" t="inlineStr">
        <is>
          <t>+++ </t>
        </is>
      </c>
      <c r="H3340" s="2">
        <v>480</v>
      </c>
      <c r="I3340" s="2" t="inlineStr">
        <is>
          <t>$</t>
        </is>
      </c>
      <c r="J3340" s="2">
        <f>HYPERLINK("https://app.astro.lead-studio.pro/product/1c07e4da-fc36-448f-9d55-ea73ded0a5a8")</f>
      </c>
    </row>
    <row r="3341" spans="1:10" customHeight="0">
      <c r="A3341" s="2" t="inlineStr">
        <is>
          <t>Компьютеры</t>
        </is>
      </c>
      <c r="B3341" s="2" t="inlineStr">
        <is>
          <t>MSI</t>
        </is>
      </c>
      <c r="C3341" s="2" t="inlineStr">
        <is>
          <t>9S6-A60211-033</t>
        </is>
      </c>
      <c r="D3341" s="2" t="inlineStr">
        <is>
          <t>Моноблок MSI Pro AP162T ADL-013RU 15.6" Full HD Touch N100 (0.8) 4Gb SSD128Gb UHDG CR Windows 11 Professional 2xGbitEth WiFi BT 65W клавиатура мышь Cam черный 1920x1080</t>
        </is>
      </c>
      <c r="E3341" s="2" t="inlineStr">
        <is>
          <t>+++ </t>
        </is>
      </c>
      <c r="F3341" s="2" t="inlineStr">
        <is>
          <t>+++ </t>
        </is>
      </c>
      <c r="H3341" s="2">
        <v>513</v>
      </c>
      <c r="I3341" s="2" t="inlineStr">
        <is>
          <t>$</t>
        </is>
      </c>
      <c r="J3341" s="2">
        <f>HYPERLINK("https://app.astro.lead-studio.pro/product/75238159-eaff-4950-8eb5-52353b3ee8d8")</f>
      </c>
    </row>
    <row r="3342" spans="1:10" customHeight="0">
      <c r="A3342" s="2" t="inlineStr">
        <is>
          <t>Компьютеры</t>
        </is>
      </c>
      <c r="B3342" s="2" t="inlineStr">
        <is>
          <t>MSI</t>
        </is>
      </c>
      <c r="C3342" s="2" t="inlineStr">
        <is>
          <t>9S6-AC0112-083</t>
        </is>
      </c>
      <c r="D3342" s="2" t="inlineStr">
        <is>
          <t>Моноблок MSI Pro AP222T 13M-083XRU 21.5" Full HD Touch i5 13400 (2.5) 16Gb SSD512Gb UHDG 730 CR без ОС 2xGbitEth WiFi BT 120W клавиатура мышь Cam белый 1920x1080</t>
        </is>
      </c>
      <c r="E3342" s="2" t="inlineStr">
        <is>
          <t>+ </t>
        </is>
      </c>
      <c r="F3342" s="2" t="inlineStr">
        <is>
          <t>+ </t>
        </is>
      </c>
      <c r="H3342" s="2">
        <v>932</v>
      </c>
      <c r="I3342" s="2" t="inlineStr">
        <is>
          <t>$</t>
        </is>
      </c>
      <c r="J3342" s="2">
        <f>HYPERLINK("https://app.astro.lead-studio.pro/product/027e710e-ea1a-4fc0-9086-09c9659db9da")</f>
      </c>
    </row>
    <row r="3343" spans="1:10" customHeight="0">
      <c r="A3343" s="2" t="inlineStr">
        <is>
          <t>Компьютеры</t>
        </is>
      </c>
      <c r="B3343" s="2" t="inlineStr">
        <is>
          <t>MSI</t>
        </is>
      </c>
      <c r="C3343" s="2" t="inlineStr">
        <is>
          <t>9S6-AC0112-085</t>
        </is>
      </c>
      <c r="D3343" s="2" t="inlineStr">
        <is>
          <t>Моноблок MSI Pro AP222T 13M-085XRU 21.5" Full HD Touch i3 13100 (3.4) 8Gb SSD256Gb UHDG 730 CR без ОС 2xGbitEth WiFi BT 120W клавиатура мышь Cam белый 1920x1080</t>
        </is>
      </c>
      <c r="E3343" s="2" t="inlineStr">
        <is>
          <t>+ </t>
        </is>
      </c>
      <c r="F3343" s="2" t="inlineStr">
        <is>
          <t>+ </t>
        </is>
      </c>
      <c r="H3343" s="2">
        <v>790</v>
      </c>
      <c r="I3343" s="2" t="inlineStr">
        <is>
          <t>$</t>
        </is>
      </c>
      <c r="J3343" s="2">
        <f>HYPERLINK("https://app.astro.lead-studio.pro/product/093964a1-4970-4b7f-a6de-a17598a7a4a8")</f>
      </c>
    </row>
    <row r="3344" spans="1:10" customHeight="0">
      <c r="A3344" s="2" t="inlineStr">
        <is>
          <t>Компьютеры</t>
        </is>
      </c>
      <c r="B3344" s="2" t="inlineStr">
        <is>
          <t>MSI</t>
        </is>
      </c>
      <c r="C3344" s="2" t="inlineStr">
        <is>
          <t>9S6-AE0621-838</t>
        </is>
      </c>
      <c r="D3344" s="2" t="inlineStr">
        <is>
          <t>Моноблок MSI Pro AP242P 14M-653RU 23.8" Full HD i5 14400 (2.5) 16Gb SSD512Gb UHDG 730 Windows 11 Pro GbitEth WiFi BT 120W клавиатура мышь Cam черный 1920x1080</t>
        </is>
      </c>
      <c r="E3344" s="2" t="inlineStr">
        <is>
          <t>+ </t>
        </is>
      </c>
      <c r="F3344" s="2" t="inlineStr">
        <is>
          <t>+ </t>
        </is>
      </c>
      <c r="H3344" s="2">
        <v>1081</v>
      </c>
      <c r="I3344" s="2" t="inlineStr">
        <is>
          <t>$</t>
        </is>
      </c>
      <c r="J3344" s="2">
        <f>HYPERLINK("https://app.astro.lead-studio.pro/product/ee049c31-e6c8-4c68-b321-65a7b6737c2a")</f>
      </c>
    </row>
    <row r="3345" spans="1:10" customHeight="0">
      <c r="A3345" s="2" t="inlineStr">
        <is>
          <t>Компьютеры</t>
        </is>
      </c>
      <c r="B3345" s="2" t="inlineStr">
        <is>
          <t>MSI</t>
        </is>
      </c>
      <c r="C3345" s="2" t="inlineStr">
        <is>
          <t>9S6-AE0621-822</t>
        </is>
      </c>
      <c r="D3345" s="2" t="inlineStr">
        <is>
          <t>Моноблок MSI Pro AP242P 14M-654XRU 23.8" Full HD i5 14400 (2.5) 16Gb SSD512Gb UHDG 730 без ОС GbitEth WiFi BT 120W клавиатура мышь Cam черный 1920x1080</t>
        </is>
      </c>
      <c r="E3345" s="2" t="inlineStr">
        <is>
          <t>+++ </t>
        </is>
      </c>
      <c r="F3345" s="2" t="inlineStr">
        <is>
          <t>+++ </t>
        </is>
      </c>
      <c r="H3345" s="2">
        <v>935</v>
      </c>
      <c r="I3345" s="2" t="inlineStr">
        <is>
          <t>$</t>
        </is>
      </c>
      <c r="J3345" s="2">
        <f>HYPERLINK("https://app.astro.lead-studio.pro/product/d1262187-7b11-43da-859c-8740941ab543")</f>
      </c>
    </row>
    <row r="3346" spans="1:10" customHeight="0">
      <c r="A3346" s="2" t="inlineStr">
        <is>
          <t>Компьютеры</t>
        </is>
      </c>
      <c r="B3346" s="2" t="inlineStr">
        <is>
          <t>MSI</t>
        </is>
      </c>
      <c r="C3346" s="2" t="inlineStr">
        <is>
          <t>9S6-AE0622-826</t>
        </is>
      </c>
      <c r="D3346" s="2" t="inlineStr">
        <is>
          <t>Моноблок MSI Pro AP242P 14M-655XRU 23.8" Full HD i5 14400 (2.5) 16Gb SSD512Gb UHDG 730 без ОС GbitEth WiFi BT 120W клавиатура мышь Cam белый 1920x1080</t>
        </is>
      </c>
      <c r="E3346" s="2" t="inlineStr">
        <is>
          <t>+++ </t>
        </is>
      </c>
      <c r="F3346" s="2" t="inlineStr">
        <is>
          <t>+++ </t>
        </is>
      </c>
      <c r="H3346" s="2">
        <v>928</v>
      </c>
      <c r="I3346" s="2" t="inlineStr">
        <is>
          <t>$</t>
        </is>
      </c>
      <c r="J3346" s="2">
        <f>HYPERLINK("https://app.astro.lead-studio.pro/product/4a234a1a-460c-487f-9423-8772d2e9e31b")</f>
      </c>
    </row>
    <row r="3347" spans="1:10" customHeight="0">
      <c r="A3347" s="2" t="inlineStr">
        <is>
          <t>Компьютеры</t>
        </is>
      </c>
      <c r="B3347" s="2" t="inlineStr">
        <is>
          <t>MSI</t>
        </is>
      </c>
      <c r="C3347" s="2" t="inlineStr">
        <is>
          <t>9S6-AE0622-832</t>
        </is>
      </c>
      <c r="D3347" s="2" t="inlineStr">
        <is>
          <t>Моноблок MSI Pro AP242P 14M-658XRU 23.8" Full HD i5 14400 (2.5) 16Gb 1Tb 7.2k SSD256Gb UHDG 730 без ОС GbitEth WiFi BT 120W клавиатура мышь Cam белый 1920x1080</t>
        </is>
      </c>
      <c r="E3347" s="2" t="inlineStr">
        <is>
          <t>+ </t>
        </is>
      </c>
      <c r="F3347" s="2" t="inlineStr">
        <is>
          <t>+ </t>
        </is>
      </c>
      <c r="H3347" s="2">
        <v>923</v>
      </c>
      <c r="I3347" s="2" t="inlineStr">
        <is>
          <t>$</t>
        </is>
      </c>
      <c r="J3347" s="2">
        <f>HYPERLINK("https://app.astro.lead-studio.pro/product/8f68025a-d056-4d6f-8099-92028da6f482")</f>
      </c>
    </row>
    <row r="3348" spans="1:10" customHeight="0">
      <c r="A3348" s="2" t="inlineStr">
        <is>
          <t>Компьютеры</t>
        </is>
      </c>
      <c r="B3348" s="2" t="inlineStr">
        <is>
          <t>MSI</t>
        </is>
      </c>
      <c r="C3348" s="2" t="inlineStr">
        <is>
          <t>9S6-AE0621-823</t>
        </is>
      </c>
      <c r="D3348" s="2" t="inlineStr">
        <is>
          <t>Моноблок MSI Pro AP242P 14M-659XRU 23.8" Full HD i5 14400 (2.5) 16Gb 1Tb SSD256Gb UHDG 730 без ОС GbitEth WiFi BT 120W клавиатура мышь Cam черный 1920x1080</t>
        </is>
      </c>
      <c r="E3348" s="2" t="inlineStr">
        <is>
          <t>+ </t>
        </is>
      </c>
      <c r="F3348" s="2" t="inlineStr">
        <is>
          <t>+ </t>
        </is>
      </c>
      <c r="H3348" s="2">
        <v>927</v>
      </c>
      <c r="I3348" s="2" t="inlineStr">
        <is>
          <t>$</t>
        </is>
      </c>
      <c r="J3348" s="2">
        <f>HYPERLINK("https://app.astro.lead-studio.pro/product/029256c0-5f5b-40d8-be42-5c1b6b0e097d")</f>
      </c>
    </row>
    <row r="3349" spans="1:10" customHeight="0">
      <c r="A3349" s="2" t="inlineStr">
        <is>
          <t>Компьютеры</t>
        </is>
      </c>
      <c r="B3349" s="2" t="inlineStr">
        <is>
          <t>MSI</t>
        </is>
      </c>
      <c r="C3349" s="2" t="inlineStr">
        <is>
          <t>9S6-AE0621-821</t>
        </is>
      </c>
      <c r="D3349" s="2" t="inlineStr">
        <is>
          <t>Моноблок MSI Pro AP242P 14M-661XRU 23.8" Full HD i7 14700 (2.1) 16Gb SSD512Gb UHDG 770 без ОС GbitEth WiFi BT 120W клавиатура мышь Cam черный 1920x1080</t>
        </is>
      </c>
      <c r="E3349" s="2" t="inlineStr">
        <is>
          <t>+ </t>
        </is>
      </c>
      <c r="F3349" s="2" t="inlineStr">
        <is>
          <t>+ </t>
        </is>
      </c>
      <c r="H3349" s="2">
        <v>1117</v>
      </c>
      <c r="I3349" s="2" t="inlineStr">
        <is>
          <t>$</t>
        </is>
      </c>
      <c r="J3349" s="2">
        <f>HYPERLINK("https://app.astro.lead-studio.pro/product/04b22727-ebcb-4c27-9477-1138ca3a1ed3")</f>
      </c>
    </row>
    <row r="3350" spans="1:10" customHeight="0">
      <c r="A3350" s="2" t="inlineStr">
        <is>
          <t>Компьютеры</t>
        </is>
      </c>
      <c r="B3350" s="2" t="inlineStr">
        <is>
          <t>MSI</t>
        </is>
      </c>
      <c r="C3350" s="2" t="inlineStr">
        <is>
          <t>9S6-AE0621-661</t>
        </is>
      </c>
      <c r="D3350" s="2" t="inlineStr">
        <is>
          <t>Моноблок MSI Pro AP242P 14M-661XRU 23.8" Full HD i7 14700 (2.1) 16Gb SSD512Gb UHDG 770 без ОС GbitEth WiFi BT 120W клавиатура мышь Cam черный 1920x1080</t>
        </is>
      </c>
      <c r="E3350" s="2" t="inlineStr">
        <is>
          <t>+ </t>
        </is>
      </c>
      <c r="F3350" s="2" t="inlineStr">
        <is>
          <t>+ </t>
        </is>
      </c>
      <c r="H3350" s="2">
        <v>1141</v>
      </c>
      <c r="I3350" s="2" t="inlineStr">
        <is>
          <t>$</t>
        </is>
      </c>
      <c r="J3350" s="2">
        <f>HYPERLINK("https://app.astro.lead-studio.pro/product/3afac21c-a84e-49cd-b4b6-5c2e8b408abc")</f>
      </c>
    </row>
    <row r="3351" spans="1:10" customHeight="0">
      <c r="A3351" s="2" t="inlineStr">
        <is>
          <t>Компьютеры</t>
        </is>
      </c>
      <c r="B3351" s="2" t="inlineStr">
        <is>
          <t>MSI</t>
        </is>
      </c>
      <c r="C3351" s="2" t="inlineStr">
        <is>
          <t>9S6-AE0622-668</t>
        </is>
      </c>
      <c r="D3351" s="2" t="inlineStr">
        <is>
          <t>Моноблок MSI Pro AP242P 14M-668XRU 23.8" Full HD i7 14700 (2.1) 16Gb SSD512Gb UHDG 770 без ОС GbitEth WiFi BT 120W клавиатура мышь Cam белый 1920x1080</t>
        </is>
      </c>
      <c r="E3351" s="2" t="inlineStr">
        <is>
          <t>+ </t>
        </is>
      </c>
      <c r="F3351" s="2" t="inlineStr">
        <is>
          <t>+ </t>
        </is>
      </c>
      <c r="H3351" s="2">
        <v>1138</v>
      </c>
      <c r="I3351" s="2" t="inlineStr">
        <is>
          <t>$</t>
        </is>
      </c>
      <c r="J3351" s="2">
        <f>HYPERLINK("https://app.astro.lead-studio.pro/product/b4c4117a-9c41-462b-8486-88fa5d02f4c6")</f>
      </c>
    </row>
    <row r="3352" spans="1:10" customHeight="0">
      <c r="A3352" s="2" t="inlineStr">
        <is>
          <t>Компьютеры</t>
        </is>
      </c>
      <c r="B3352" s="2" t="inlineStr">
        <is>
          <t>MSI</t>
        </is>
      </c>
      <c r="C3352" s="2" t="inlineStr">
        <is>
          <t>9S6-AE0622-831</t>
        </is>
      </c>
      <c r="D3352" s="2" t="inlineStr">
        <is>
          <t>Моноблок MSI Pro AP242P 14M-668XRU 23.8" Full HD i7 14700 (2.1) 16Gb SSD512Gb UHDG 770 без ОС GbitEth WiFi BT 120W клавиатура мышь Cam белый 1920x1080</t>
        </is>
      </c>
      <c r="E3352" s="2" t="inlineStr">
        <is>
          <t>++ </t>
        </is>
      </c>
      <c r="F3352" s="2" t="inlineStr">
        <is>
          <t>++ </t>
        </is>
      </c>
      <c r="H3352" s="2">
        <v>1124</v>
      </c>
      <c r="I3352" s="2" t="inlineStr">
        <is>
          <t>$</t>
        </is>
      </c>
      <c r="J3352" s="2">
        <f>HYPERLINK("https://app.astro.lead-studio.pro/product/b9705c31-eb35-4d9f-bab5-0e917a04ef20")</f>
      </c>
    </row>
    <row r="3353" spans="1:10" customHeight="0">
      <c r="A3353" s="2" t="inlineStr">
        <is>
          <t>Компьютеры</t>
        </is>
      </c>
      <c r="B3353" s="2" t="inlineStr">
        <is>
          <t>MSI</t>
        </is>
      </c>
      <c r="C3353" s="2" t="inlineStr">
        <is>
          <t>9S6-AE0622-835</t>
        </is>
      </c>
      <c r="D3353" s="2" t="inlineStr">
        <is>
          <t>Моноблок MSI Pro AP242P 14M-687RU 23.8" Full HD i7 14700 (2.1) 16Gb SSD512Gb UHDG 770 Windows 11 Pro GbitEth WiFi BT 120W клавиатура мышь Cam белый 1920x1080</t>
        </is>
      </c>
      <c r="E3353" s="2" t="inlineStr">
        <is>
          <t>+ </t>
        </is>
      </c>
      <c r="F3353" s="2" t="inlineStr">
        <is>
          <t>+ </t>
        </is>
      </c>
      <c r="H3353" s="2">
        <v>1326</v>
      </c>
      <c r="I3353" s="2" t="inlineStr">
        <is>
          <t>$</t>
        </is>
      </c>
      <c r="J3353" s="2">
        <f>HYPERLINK("https://app.astro.lead-studio.pro/product/ea715394-8add-4bac-9959-6fca4ac11f08")</f>
      </c>
    </row>
    <row r="3354" spans="1:10" customHeight="0">
      <c r="A3354" s="2" t="inlineStr">
        <is>
          <t>Компьютеры</t>
        </is>
      </c>
      <c r="B3354" s="2" t="inlineStr">
        <is>
          <t>MSI</t>
        </is>
      </c>
      <c r="C3354" s="2" t="inlineStr">
        <is>
          <t>9S6-AE0621-836</t>
        </is>
      </c>
      <c r="D3354" s="2" t="inlineStr">
        <is>
          <t>Моноблок MSI Pro AP242P 14M-688RU 23.8" Full HD i7 14700 (2.1) 16Gb SSD512Gb UHDG 770 Windows 11 Pro GbitEth WiFi BT 120W клавиатура мышь Cam черный 1920x1080</t>
        </is>
      </c>
      <c r="E3354" s="2" t="inlineStr">
        <is>
          <t>+ </t>
        </is>
      </c>
      <c r="F3354" s="2" t="inlineStr">
        <is>
          <t>+ </t>
        </is>
      </c>
      <c r="H3354" s="2">
        <v>1318</v>
      </c>
      <c r="I3354" s="2" t="inlineStr">
        <is>
          <t>$</t>
        </is>
      </c>
      <c r="J3354" s="2">
        <f>HYPERLINK("https://app.astro.lead-studio.pro/product/d91cc638-2348-42ad-97d6-0bd758171245")</f>
      </c>
    </row>
    <row r="3355" spans="1:10" customHeight="0">
      <c r="A3355" s="2" t="inlineStr">
        <is>
          <t>Компьютеры</t>
        </is>
      </c>
      <c r="B3355" s="2" t="inlineStr">
        <is>
          <t>MSI</t>
        </is>
      </c>
      <c r="C3355" s="2" t="inlineStr">
        <is>
          <t>9S6-AE0622-839</t>
        </is>
      </c>
      <c r="D3355" s="2" t="inlineStr">
        <is>
          <t>Моноблок MSI Pro AP242P 14M-807XRU 23.8" Full HD i7 14700 (2.1) 32Gb SSD512Gb UHDG 770 без ОС GbitEth WiFi BT 120W клавиатура мышь Cam белый 1920x1080</t>
        </is>
      </c>
      <c r="E3355" s="2" t="inlineStr">
        <is>
          <t>++ </t>
        </is>
      </c>
      <c r="F3355" s="2" t="inlineStr">
        <is>
          <t>++ </t>
        </is>
      </c>
      <c r="H3355" s="2">
        <v>1205</v>
      </c>
      <c r="I3355" s="2" t="inlineStr">
        <is>
          <t>$</t>
        </is>
      </c>
      <c r="J3355" s="2">
        <f>HYPERLINK("https://app.astro.lead-studio.pro/product/6bb285bc-106a-42ac-9212-c99586a75319")</f>
      </c>
    </row>
    <row r="3356" spans="1:10" customHeight="0">
      <c r="A3356" s="2" t="inlineStr">
        <is>
          <t>Компьютеры</t>
        </is>
      </c>
      <c r="B3356" s="2" t="inlineStr">
        <is>
          <t>MSI</t>
        </is>
      </c>
      <c r="C3356" s="2" t="inlineStr">
        <is>
          <t>9S6-AE0622-807</t>
        </is>
      </c>
      <c r="D3356" s="2" t="inlineStr">
        <is>
          <t>Моноблок MSI Pro AP242P 14M-807XRU 23.8" Full HD i7 14700 (2.1) 32Gb SSD512Gb UHDG 770 без ОС GbitEth WiFi BT 120W клавиатура мышь Cam белый 1920x1080</t>
        </is>
      </c>
      <c r="E3356" s="2" t="inlineStr">
        <is>
          <t>+ </t>
        </is>
      </c>
      <c r="F3356" s="2" t="inlineStr">
        <is>
          <t>+ </t>
        </is>
      </c>
      <c r="H3356" s="2">
        <v>1202</v>
      </c>
      <c r="I3356" s="2" t="inlineStr">
        <is>
          <t>$</t>
        </is>
      </c>
      <c r="J3356" s="2">
        <f>HYPERLINK("https://app.astro.lead-studio.pro/product/71ceb9f1-c6bd-49e6-9a2e-095ebecefd7b")</f>
      </c>
    </row>
    <row r="3357" spans="1:10" customHeight="0">
      <c r="A3357" s="2" t="inlineStr">
        <is>
          <t>Компьютеры</t>
        </is>
      </c>
      <c r="B3357" s="2" t="inlineStr">
        <is>
          <t>MSI</t>
        </is>
      </c>
      <c r="C3357" s="2" t="inlineStr">
        <is>
          <t>9S6-AE0621-808</t>
        </is>
      </c>
      <c r="D3357" s="2" t="inlineStr">
        <is>
          <t>Моноблок MSI Pro AP242P 14M-808XRU 23.8" Full HD i7 14700 (2.1) 32Gb SSD512Gb UHDG 770 без ОС GbitEth WiFi BT 120W клавиатура мышь Cam черный 1920x1080</t>
        </is>
      </c>
      <c r="E3357" s="2" t="inlineStr">
        <is>
          <t>+ </t>
        </is>
      </c>
      <c r="F3357" s="2" t="inlineStr">
        <is>
          <t>+ </t>
        </is>
      </c>
      <c r="H3357" s="2">
        <v>1231</v>
      </c>
      <c r="I3357" s="2" t="inlineStr">
        <is>
          <t>$</t>
        </is>
      </c>
      <c r="J3357" s="2">
        <f>HYPERLINK("https://app.astro.lead-studio.pro/product/3f75fa97-4f4d-4aea-8a85-b495dd5cb8fa")</f>
      </c>
    </row>
    <row r="3358" spans="1:10" customHeight="0">
      <c r="A3358" s="2" t="inlineStr">
        <is>
          <t>Компьютеры</t>
        </is>
      </c>
      <c r="B3358" s="2" t="inlineStr">
        <is>
          <t>MSI</t>
        </is>
      </c>
      <c r="C3358" s="2" t="inlineStr">
        <is>
          <t>9S6-AE0621-840</t>
        </is>
      </c>
      <c r="D3358" s="2" t="inlineStr">
        <is>
          <t>Моноблок MSI Pro AP242P 14M-808XRU 23.8" Full HD i7 14700 (2.1) 32Gb SSD512Gb UHDG 770 без ОС GbitEth WiFi BT 120W клавиатура мышь Cam черный 1920x1080</t>
        </is>
      </c>
      <c r="E3358" s="2" t="inlineStr">
        <is>
          <t>+ </t>
        </is>
      </c>
      <c r="F3358" s="2" t="inlineStr">
        <is>
          <t>+ </t>
        </is>
      </c>
      <c r="H3358" s="2">
        <v>1225</v>
      </c>
      <c r="I3358" s="2" t="inlineStr">
        <is>
          <t>$</t>
        </is>
      </c>
      <c r="J3358" s="2">
        <f>HYPERLINK("https://app.astro.lead-studio.pro/product/8a2ac842-c8b8-4937-8abb-3bc44a25ab61")</f>
      </c>
    </row>
    <row r="3359" spans="1:10" customHeight="0">
      <c r="A3359" s="2" t="inlineStr">
        <is>
          <t>Компьютеры</t>
        </is>
      </c>
      <c r="B3359" s="2" t="inlineStr">
        <is>
          <t>MSI</t>
        </is>
      </c>
      <c r="C3359" s="2" t="inlineStr">
        <is>
          <t>9S6-AF8322-817</t>
        </is>
      </c>
      <c r="D3359" s="2" t="inlineStr">
        <is>
          <t>Моноблок MSI Pro AP272P 14M-614XRU 27" Full HD i7 14700 (2.1) 16Gb SSD1Tb UHDG 770 без ОС GbitEth WiFi BT 120W клавиатура мышь Cam белый 1920x1080</t>
        </is>
      </c>
      <c r="E3359" s="2" t="inlineStr">
        <is>
          <t>+ </t>
        </is>
      </c>
      <c r="F3359" s="2" t="inlineStr">
        <is>
          <t>+ </t>
        </is>
      </c>
      <c r="H3359" s="2">
        <v>1219</v>
      </c>
      <c r="I3359" s="2" t="inlineStr">
        <is>
          <t>$</t>
        </is>
      </c>
      <c r="J3359" s="2">
        <f>HYPERLINK("https://app.astro.lead-studio.pro/product/6056ceef-2421-40cb-8ce9-41c356ab67a5")</f>
      </c>
    </row>
    <row r="3360" spans="1:10" customHeight="0">
      <c r="A3360" s="2" t="inlineStr">
        <is>
          <t>Компьютеры</t>
        </is>
      </c>
      <c r="B3360" s="2" t="inlineStr">
        <is>
          <t>MSI</t>
        </is>
      </c>
      <c r="C3360" s="2" t="inlineStr">
        <is>
          <t>9S6-AF8322-818</t>
        </is>
      </c>
      <c r="D3360" s="2" t="inlineStr">
        <is>
          <t>Моноблок MSI Pro AP272P 14M-616RU 27" Full HD i5 14400 (2.5) 16Gb SSD512Gb UHDG 730 Windows 11 Pro GbitEth WiFi BT 120W клавиатура мышь Cam белый 1920x1080</t>
        </is>
      </c>
      <c r="E3360" s="2" t="inlineStr">
        <is>
          <t>+ </t>
        </is>
      </c>
      <c r="F3360" s="2" t="inlineStr">
        <is>
          <t>+ </t>
        </is>
      </c>
      <c r="H3360" s="2">
        <v>1094</v>
      </c>
      <c r="I3360" s="2" t="inlineStr">
        <is>
          <t>$</t>
        </is>
      </c>
      <c r="J3360" s="2">
        <f>HYPERLINK("https://app.astro.lead-studio.pro/product/ade98038-ec0d-4d14-a0d4-3ec6e6122e2c")</f>
      </c>
    </row>
    <row r="3361" spans="1:10" customHeight="0">
      <c r="A3361" s="2" t="inlineStr">
        <is>
          <t>Компьютеры</t>
        </is>
      </c>
      <c r="B3361" s="2" t="inlineStr">
        <is>
          <t>MSI</t>
        </is>
      </c>
      <c r="C3361" s="2" t="inlineStr">
        <is>
          <t>9S6-AF8322-803</t>
        </is>
      </c>
      <c r="D3361" s="2" t="inlineStr">
        <is>
          <t>Моноблок MSI Pro AP272P 14M-617XRU 27" Full HD i5 14400 (2.5) 16Gb SSD512Gb UHDG 730 без ОС GbitEth WiFi BT 120W клавиатура мышь Cam белый 1920x1080</t>
        </is>
      </c>
      <c r="E3361" s="2" t="inlineStr">
        <is>
          <t>+++ </t>
        </is>
      </c>
      <c r="F3361" s="2" t="inlineStr">
        <is>
          <t>+++ </t>
        </is>
      </c>
      <c r="H3361" s="2">
        <v>994</v>
      </c>
      <c r="I3361" s="2" t="inlineStr">
        <is>
          <t>$</t>
        </is>
      </c>
      <c r="J3361" s="2">
        <f>HYPERLINK("https://app.astro.lead-studio.pro/product/9f602f2d-a0b2-43f8-bca9-3f665f2a42eb")</f>
      </c>
    </row>
    <row r="3362" spans="1:10" customHeight="0">
      <c r="A3362" s="2" t="inlineStr">
        <is>
          <t>Компьютеры</t>
        </is>
      </c>
      <c r="B3362" s="2" t="inlineStr">
        <is>
          <t>MSI</t>
        </is>
      </c>
      <c r="C3362" s="2" t="inlineStr">
        <is>
          <t>9S6-AF8322-810</t>
        </is>
      </c>
      <c r="D3362" s="2" t="inlineStr">
        <is>
          <t>Моноблок MSI Pro AP272P 14M-619XRU 27" Full HD i3 14100 (3.5) 16Gb SSD512Gb UHDG 730 без ОС GbitEth WiFi BT 120W клавиатура мышь Cam белый 1920x1080</t>
        </is>
      </c>
      <c r="E3362" s="2" t="inlineStr">
        <is>
          <t>+ </t>
        </is>
      </c>
      <c r="F3362" s="2" t="inlineStr">
        <is>
          <t>+ </t>
        </is>
      </c>
      <c r="H3362" s="2">
        <v>817</v>
      </c>
      <c r="I3362" s="2" t="inlineStr">
        <is>
          <t>$</t>
        </is>
      </c>
      <c r="J3362" s="2">
        <f>HYPERLINK("https://app.astro.lead-studio.pro/product/3fc52f86-3771-4b39-98fd-682854edef02")</f>
      </c>
    </row>
    <row r="3363" spans="1:10" customHeight="0">
      <c r="A3363" s="2" t="inlineStr">
        <is>
          <t>Компьютеры</t>
        </is>
      </c>
      <c r="B3363" s="2" t="inlineStr">
        <is>
          <t>MSI</t>
        </is>
      </c>
      <c r="C3363" s="2" t="inlineStr">
        <is>
          <t>9S6-AF8321-699</t>
        </is>
      </c>
      <c r="D3363" s="2" t="inlineStr">
        <is>
          <t>Моноблок MSI Pro AP272P 14M-621XRU 27" Full HD i7 14700 (2.1) 16Gb SSD1Tb UHDG 770 без ОС GbitEth WiFi BT 120W клавиатура мышь Cam черный 1920x1080</t>
        </is>
      </c>
      <c r="E3363" s="2" t="inlineStr">
        <is>
          <t>++ </t>
        </is>
      </c>
      <c r="F3363" s="2" t="inlineStr">
        <is>
          <t>++ </t>
        </is>
      </c>
      <c r="H3363" s="2">
        <v>1228</v>
      </c>
      <c r="I3363" s="2" t="inlineStr">
        <is>
          <t>$</t>
        </is>
      </c>
      <c r="J3363" s="2">
        <f>HYPERLINK("https://app.astro.lead-studio.pro/product/8d6979fd-0ca6-4dc8-a8ac-680e05a67787")</f>
      </c>
    </row>
    <row r="3364" spans="1:10" customHeight="0">
      <c r="A3364" s="2" t="inlineStr">
        <is>
          <t>Компьютеры</t>
        </is>
      </c>
      <c r="B3364" s="2" t="inlineStr">
        <is>
          <t>MSI</t>
        </is>
      </c>
      <c r="C3364" s="2" t="inlineStr">
        <is>
          <t>9S6-AF8321-802</t>
        </is>
      </c>
      <c r="D3364" s="2" t="inlineStr">
        <is>
          <t>Моноблок MSI Pro AP272P 14M-624XRU 27" Full HD i5 14400 (2.5) 16Gb SSD512Gb UHDG 730 без ОС GbitEth WiFi BT 120W клавиатура мышь Cam черный 1920x1080</t>
        </is>
      </c>
      <c r="E3364" s="2" t="inlineStr">
        <is>
          <t>+ </t>
        </is>
      </c>
      <c r="F3364" s="2" t="inlineStr">
        <is>
          <t>+ </t>
        </is>
      </c>
      <c r="H3364" s="2">
        <v>976</v>
      </c>
      <c r="I3364" s="2" t="inlineStr">
        <is>
          <t>$</t>
        </is>
      </c>
      <c r="J3364" s="2">
        <f>HYPERLINK("https://app.astro.lead-studio.pro/product/236a5e72-00ee-4920-ac36-af8b6f8b4850")</f>
      </c>
    </row>
    <row r="3365" spans="1:10" customHeight="0">
      <c r="A3365" s="2" t="inlineStr">
        <is>
          <t>Компьютеры</t>
        </is>
      </c>
      <c r="B3365" s="2" t="inlineStr">
        <is>
          <t>MSI</t>
        </is>
      </c>
      <c r="C3365" s="2" t="inlineStr">
        <is>
          <t>9S6-AF8321-800</t>
        </is>
      </c>
      <c r="D3365" s="2" t="inlineStr">
        <is>
          <t>Моноблок MSI Pro AP272P 14M-627XRU 27" Full HD i7 14700 (2.1) 16Gb SSD512Gb UHDG 770 без ОС GbitEth WiFi BT 120W клавиатура мышь Cam черный 1920x1080</t>
        </is>
      </c>
      <c r="E3365" s="2" t="inlineStr">
        <is>
          <t>++ </t>
        </is>
      </c>
      <c r="F3365" s="2" t="inlineStr">
        <is>
          <t>++ </t>
        </is>
      </c>
      <c r="H3365" s="2">
        <v>1156</v>
      </c>
      <c r="I3365" s="2" t="inlineStr">
        <is>
          <t>$</t>
        </is>
      </c>
      <c r="J3365" s="2">
        <f>HYPERLINK("https://app.astro.lead-studio.pro/product/ed1d45fb-69f3-4a71-854e-cccd454e6b30")</f>
      </c>
    </row>
    <row r="3366" spans="1:10" customHeight="0">
      <c r="A3366" s="2" t="inlineStr">
        <is>
          <t>Компьютеры</t>
        </is>
      </c>
      <c r="B3366" s="2" t="inlineStr">
        <is>
          <t>MSI</t>
        </is>
      </c>
      <c r="C3366" s="2" t="inlineStr">
        <is>
          <t>9S6-AF8321-809</t>
        </is>
      </c>
      <c r="D3366" s="2" t="inlineStr">
        <is>
          <t>Моноблок MSI Pro AP272P 14M-636XRU 27" Full HD i3 14100 (3.5) 16Gb SSD512Gb UHDG 730 без ОС GbitEth WiFi BT 120W клавиатура мышь Cam черный 1920x1080</t>
        </is>
      </c>
      <c r="E3366" s="2" t="inlineStr">
        <is>
          <t>+ </t>
        </is>
      </c>
      <c r="F3366" s="2" t="inlineStr">
        <is>
          <t>+ </t>
        </is>
      </c>
      <c r="H3366" s="2">
        <v>824</v>
      </c>
      <c r="I3366" s="2" t="inlineStr">
        <is>
          <t>$</t>
        </is>
      </c>
      <c r="J3366" s="2">
        <f>HYPERLINK("https://app.astro.lead-studio.pro/product/23b931b8-5019-4cf5-a9bd-b67b716623ef")</f>
      </c>
    </row>
    <row r="3367" spans="1:10" customHeight="0">
      <c r="A3367" s="2" t="inlineStr">
        <is>
          <t>Компьютеры</t>
        </is>
      </c>
      <c r="B3367" s="2" t="inlineStr">
        <is>
          <t>MSI</t>
        </is>
      </c>
      <c r="C3367" s="2" t="inlineStr">
        <is>
          <t>9S6-AF8322-804</t>
        </is>
      </c>
      <c r="D3367" s="2" t="inlineStr">
        <is>
          <t>Моноблок MSI Pro AP272P 14M-664XRU 27" Full HD i7 14700 (2.1) 16Gb SSD512Gb UHDG 770 без ОС GbitEth WiFi BT 120W клавиатура мышь Cam белый 1920x1080</t>
        </is>
      </c>
      <c r="E3367" s="2" t="inlineStr">
        <is>
          <t>++ </t>
        </is>
      </c>
      <c r="F3367" s="2" t="inlineStr">
        <is>
          <t>++ </t>
        </is>
      </c>
      <c r="H3367" s="2">
        <v>1165</v>
      </c>
      <c r="I3367" s="2" t="inlineStr">
        <is>
          <t>$</t>
        </is>
      </c>
      <c r="J3367" s="2">
        <f>HYPERLINK("https://app.astro.lead-studio.pro/product/8323a9d4-c58e-4efa-a9e1-4380b06d40e7")</f>
      </c>
    </row>
    <row r="3368" spans="1:10" customHeight="0">
      <c r="A3368" s="2" t="inlineStr">
        <is>
          <t>Компьютеры</t>
        </is>
      </c>
      <c r="B3368" s="2" t="inlineStr">
        <is>
          <t>MSI</t>
        </is>
      </c>
      <c r="C3368" s="2" t="inlineStr">
        <is>
          <t>9S6-AF8322-664</t>
        </is>
      </c>
      <c r="D3368" s="2" t="inlineStr">
        <is>
          <t>Моноблок MSI Pro AP272P 14M-664XRU 27" Full HD i7 14700 (2.1) 16Gb SSD512Gb UHDG 770 без ОС GbitEth WiFi BT 120W клавиатура мышь Cam белый 1920x1080</t>
        </is>
      </c>
      <c r="E3368" s="2" t="inlineStr">
        <is>
          <t>+ </t>
        </is>
      </c>
      <c r="F3368" s="2" t="inlineStr">
        <is>
          <t>+ </t>
        </is>
      </c>
      <c r="H3368" s="2">
        <v>1164</v>
      </c>
      <c r="I3368" s="2" t="inlineStr">
        <is>
          <t>$</t>
        </is>
      </c>
      <c r="J3368" s="2">
        <f>HYPERLINK("https://app.astro.lead-studio.pro/product/4c2409aa-e9c2-48e8-9c80-8cdf04427dcb")</f>
      </c>
    </row>
    <row r="3369" spans="1:10" customHeight="0">
      <c r="A3369" s="2" t="inlineStr">
        <is>
          <t>Компьютеры</t>
        </is>
      </c>
      <c r="B3369" s="2" t="inlineStr">
        <is>
          <t>TECLAST</t>
        </is>
      </c>
      <c r="C3369" s="2" t="inlineStr">
        <is>
          <t>F27 AIR 2K 1270016G1T512KRU</t>
        </is>
      </c>
      <c r="D3369" s="2" t="inlineStr">
        <is>
          <t>Моноблок Teclast F27 Air 27" QHD i7 12700 (2.1) 16Gb 1Tb SSD512Gb UHDG 770 Windows 11 Professional GbitEth WiFi BT 120W клавиатура мышь Cam черный 2560x1440</t>
        </is>
      </c>
      <c r="E3369" s="2" t="inlineStr">
        <is>
          <t>+ </t>
        </is>
      </c>
      <c r="F3369" s="2" t="inlineStr">
        <is>
          <t>+ </t>
        </is>
      </c>
      <c r="H3369" s="2">
        <v>1000</v>
      </c>
      <c r="I3369" s="2" t="inlineStr">
        <is>
          <t>$</t>
        </is>
      </c>
      <c r="J3369" s="2">
        <f>HYPERLINK("https://app.astro.lead-studio.pro/product/65c8ab46-329a-4d8e-aca9-302843e25389")</f>
      </c>
    </row>
    <row r="3370" spans="1:10" customHeight="0">
      <c r="A3370" s="2" t="inlineStr">
        <is>
          <t>Компьютеры</t>
        </is>
      </c>
      <c r="B3370" s="2" t="inlineStr">
        <is>
          <t>TECLAST</t>
        </is>
      </c>
      <c r="C3370" s="2" t="inlineStr">
        <is>
          <t>K24 AIR 1270016G1TKRU</t>
        </is>
      </c>
      <c r="D3370" s="2" t="inlineStr">
        <is>
          <t>Моноблок Teclast K24 Air 23.8" Full HD i7 12700 (2.1) 16Gb SSD1Tb UHDG 730 Windows 11 Professional GbitEth WiFi BT 120W клавиатура мышь белый 1920x1080</t>
        </is>
      </c>
      <c r="E3370" s="2" t="inlineStr">
        <is>
          <t>+ </t>
        </is>
      </c>
      <c r="F3370" s="2" t="inlineStr">
        <is>
          <t>+ </t>
        </is>
      </c>
      <c r="H3370" s="2">
        <v>819</v>
      </c>
      <c r="I3370" s="2" t="inlineStr">
        <is>
          <t>$</t>
        </is>
      </c>
      <c r="J3370" s="2">
        <f>HYPERLINK("https://app.astro.lead-studio.pro/product/a0a3e4e9-e175-4476-8d97-f78870ad4c4a")</f>
      </c>
    </row>
    <row r="3371" spans="1:10" customHeight="0">
      <c r="A3371" s="2" t="inlineStr">
        <is>
          <t>Компьютеры</t>
        </is>
      </c>
      <c r="B3371" s="2" t="inlineStr">
        <is>
          <t>TECLAST</t>
        </is>
      </c>
      <c r="C3371" s="2" t="inlineStr">
        <is>
          <t>V27 AIR 2K 1270016G1T512KRU</t>
        </is>
      </c>
      <c r="D3371" s="2" t="inlineStr">
        <is>
          <t>Моноблок Teclast V27 Air 27" QHD i7 12700 (2.1) 16Gb SSD1Tb UHDG 770 Windows 11 Professional GbitEth WiFi BT 120W клавиатура мышь серый 2560x1440</t>
        </is>
      </c>
      <c r="E3371" s="2" t="inlineStr">
        <is>
          <t>+ </t>
        </is>
      </c>
      <c r="F3371" s="2" t="inlineStr">
        <is>
          <t>+ </t>
        </is>
      </c>
      <c r="H3371" s="2">
        <v>1034</v>
      </c>
      <c r="I3371" s="2" t="inlineStr">
        <is>
          <t>$</t>
        </is>
      </c>
      <c r="J3371" s="2">
        <f>HYPERLINK("https://app.astro.lead-studio.pro/product/3d12f484-d530-4cf8-86db-724d77df314a")</f>
      </c>
    </row>
    <row r="3372" spans="1:10" customHeight="0">
      <c r="A3372" s="2" t="inlineStr">
        <is>
          <t>Компьютеры</t>
        </is>
      </c>
      <c r="B3372" s="2" t="inlineStr">
        <is>
          <t>ALIENWARE</t>
        </is>
      </c>
      <c r="C3372" s="2" t="inlineStr">
        <is>
          <t>R16-7241</t>
        </is>
      </c>
      <c r="D3372" s="2" t="inlineStr">
        <is>
          <t>ПК Alienware Aurora R16 MT i7 14700F (2.1) 32Gb SSD1Tb RTX4070Ti Super 16Gb Windows 11 Home GbitEth WiFi BT 1000W мышь клавиатура черный (R16-7241)</t>
        </is>
      </c>
      <c r="E3372" s="2" t="inlineStr">
        <is>
          <t>+ </t>
        </is>
      </c>
      <c r="F3372" s="2" t="inlineStr">
        <is>
          <t>+ </t>
        </is>
      </c>
      <c r="H3372" s="2">
        <v>4350</v>
      </c>
      <c r="I3372" s="2" t="inlineStr">
        <is>
          <t>$</t>
        </is>
      </c>
      <c r="J3372" s="2">
        <f>HYPERLINK("https://app.astro.lead-studio.pro/product/4026f6b9-bf14-46f1-b9b5-93f8ea246693")</f>
      </c>
    </row>
    <row r="3373" spans="1:10" customHeight="0">
      <c r="A3373" s="2" t="inlineStr">
        <is>
          <t>Компьютеры</t>
        </is>
      </c>
      <c r="B3373" s="2" t="inlineStr">
        <is>
          <t>ALIENWARE</t>
        </is>
      </c>
      <c r="C3373" s="2" t="inlineStr">
        <is>
          <t>R16-7281</t>
        </is>
      </c>
      <c r="D3373" s="2" t="inlineStr">
        <is>
          <t>ПК Alienware Aurora R16 MT i7 14700KF (3.4) 32Gb SSD2Tb RTX4080 Super 16Gb Windows 11 Home GbitEth WiFi BT 1000W мышь клавиатура черный (R16-7281)</t>
        </is>
      </c>
      <c r="E3373" s="2" t="inlineStr">
        <is>
          <t>+ </t>
        </is>
      </c>
      <c r="F3373" s="2" t="inlineStr">
        <is>
          <t>+ </t>
        </is>
      </c>
      <c r="H3373" s="2">
        <v>5139</v>
      </c>
      <c r="I3373" s="2" t="inlineStr">
        <is>
          <t>$</t>
        </is>
      </c>
      <c r="J3373" s="2">
        <f>HYPERLINK("https://app.astro.lead-studio.pro/product/1b342a53-8471-410c-a227-d2841e9839d9")</f>
      </c>
    </row>
    <row r="3374" spans="1:10" customHeight="0">
      <c r="A3374" s="2" t="inlineStr">
        <is>
          <t>Компьютеры</t>
        </is>
      </c>
      <c r="B3374" s="2" t="inlineStr">
        <is>
          <t>ASUS</t>
        </is>
      </c>
      <c r="C3374" s="2" t="inlineStr">
        <is>
          <t>90MR0122-M00220</t>
        </is>
      </c>
      <c r="D3374" s="2" t="inlineStr">
        <is>
          <t>Неттоп Asus PB63-B-B3066MD i3 13100 (3.4) UHDG без ОС GbitEth WiFi BT 120W черный (90MR0122-M00220)</t>
        </is>
      </c>
      <c r="E3374" s="2" t="inlineStr">
        <is>
          <t>++ </t>
        </is>
      </c>
      <c r="F3374" s="2" t="inlineStr">
        <is>
          <t>++ </t>
        </is>
      </c>
      <c r="H3374" s="2">
        <v>447</v>
      </c>
      <c r="I3374" s="2" t="inlineStr">
        <is>
          <t>$</t>
        </is>
      </c>
      <c r="J3374" s="2">
        <f>HYPERLINK("https://app.astro.lead-studio.pro/product/d0740562-72ba-4648-9163-fd256a4b888f")</f>
      </c>
    </row>
    <row r="3375" spans="1:10" customHeight="0">
      <c r="A3375" s="2" t="inlineStr">
        <is>
          <t>Компьютеры</t>
        </is>
      </c>
      <c r="B3375" s="2" t="inlineStr">
        <is>
          <t>ASUS</t>
        </is>
      </c>
      <c r="C3375" s="2" t="inlineStr">
        <is>
          <t>90MR0122-M002W0</t>
        </is>
      </c>
      <c r="D3375" s="2" t="inlineStr">
        <is>
          <t>Неттоп Asus PB63-B-B5092MD i5 13400 (1.8) UHDG 730 без ОС GbitEth WiFi BT 150W черный (90MR0122-M002W0)</t>
        </is>
      </c>
      <c r="E3375" s="2" t="inlineStr">
        <is>
          <t>+ </t>
        </is>
      </c>
      <c r="F3375" s="2" t="inlineStr">
        <is>
          <t>+ </t>
        </is>
      </c>
      <c r="H3375" s="2">
        <v>592</v>
      </c>
      <c r="I3375" s="2" t="inlineStr">
        <is>
          <t>$</t>
        </is>
      </c>
      <c r="J3375" s="2">
        <f>HYPERLINK("https://app.astro.lead-studio.pro/product/fdec260d-5b01-4600-98e4-b73d2519eab6")</f>
      </c>
    </row>
    <row r="3376" spans="1:10" customHeight="0">
      <c r="A3376" s="2" t="inlineStr">
        <is>
          <t>Компьютеры</t>
        </is>
      </c>
      <c r="B3376" s="2" t="inlineStr">
        <is>
          <t>ASUS</t>
        </is>
      </c>
      <c r="C3376" s="2" t="inlineStr">
        <is>
          <t>90MR0121-M001L0</t>
        </is>
      </c>
      <c r="D3376" s="2" t="inlineStr">
        <is>
          <t>Неттоп Asus PB63-B-BC051MD Cel G6900 (3.4) UHDG 710 без ОС GbitEth WiFi BT 120W черный (90MR0121-M001L0)</t>
        </is>
      </c>
      <c r="E3376" s="2" t="inlineStr">
        <is>
          <t>+ </t>
        </is>
      </c>
      <c r="F3376" s="2" t="inlineStr">
        <is>
          <t>+ </t>
        </is>
      </c>
      <c r="H3376" s="2">
        <v>329</v>
      </c>
      <c r="I3376" s="2" t="inlineStr">
        <is>
          <t>$</t>
        </is>
      </c>
      <c r="J3376" s="2">
        <f>HYPERLINK("https://app.astro.lead-studio.pro/product/aac3d812-73f4-48a7-a2ef-e37d917b9d09")</f>
      </c>
    </row>
    <row r="3377" spans="1:10" customHeight="0">
      <c r="A3377" s="2" t="inlineStr">
        <is>
          <t>Компьютеры</t>
        </is>
      </c>
      <c r="B3377" s="2" t="inlineStr">
        <is>
          <t>ASUS</t>
        </is>
      </c>
      <c r="C3377" s="2" t="inlineStr">
        <is>
          <t>90MR0122-M00210</t>
        </is>
      </c>
      <c r="D3377" s="2" t="inlineStr">
        <is>
          <t>Неттоп Asus PB63-B-BC065MD Cel G6900 (3.4) UHDG 710 без ОС GbitEth WiFi BT 120W черный (90MR0122-M00210)</t>
        </is>
      </c>
      <c r="E3377" s="2" t="inlineStr">
        <is>
          <t>+ </t>
        </is>
      </c>
      <c r="F3377" s="2" t="inlineStr">
        <is>
          <t>+ </t>
        </is>
      </c>
      <c r="H3377" s="2">
        <v>347</v>
      </c>
      <c r="I3377" s="2" t="inlineStr">
        <is>
          <t>$</t>
        </is>
      </c>
      <c r="J3377" s="2">
        <f>HYPERLINK("https://app.astro.lead-studio.pro/product/22aca0b2-0955-4c9a-8d33-e3f710a894eb")</f>
      </c>
    </row>
    <row r="3378" spans="1:10" customHeight="0">
      <c r="A3378" s="2" t="inlineStr">
        <is>
          <t>Компьютеры</t>
        </is>
      </c>
      <c r="B3378" s="2" t="inlineStr">
        <is>
          <t>ASUS</t>
        </is>
      </c>
      <c r="C3378" s="2" t="inlineStr">
        <is>
          <t>90MR0121-M001M0</t>
        </is>
      </c>
      <c r="D3378" s="2" t="inlineStr">
        <is>
          <t>Неттоп Asus PB63-B-BP052MD PG G7400 (3.7) UHDG 710 без ОС GbitEth WiFi BT 120W черный (90MR0121-M001M0)</t>
        </is>
      </c>
      <c r="E3378" s="2" t="inlineStr">
        <is>
          <t>++ </t>
        </is>
      </c>
      <c r="F3378" s="2" t="inlineStr">
        <is>
          <t>++ </t>
        </is>
      </c>
      <c r="H3378" s="2">
        <v>352</v>
      </c>
      <c r="I3378" s="2" t="inlineStr">
        <is>
          <t>$</t>
        </is>
      </c>
      <c r="J3378" s="2">
        <f>HYPERLINK("https://app.astro.lead-studio.pro/product/25343573-477c-4b19-849f-6715fa2e8ae5")</f>
      </c>
    </row>
    <row r="3379" spans="1:10" customHeight="0">
      <c r="A3379" s="2" t="inlineStr">
        <is>
          <t>Компьютеры</t>
        </is>
      </c>
      <c r="B3379" s="2" t="inlineStr">
        <is>
          <t>ASUS</t>
        </is>
      </c>
      <c r="C3379" s="2" t="inlineStr">
        <is>
          <t>90MR0122-M00250</t>
        </is>
      </c>
      <c r="D3379" s="2" t="inlineStr">
        <is>
          <t>Неттоп Asus PB63-B-BP069MD PG G7400 (3.7) UHDG 710 без ОС GbitEth WiFi BT 120W черный (90MR0122-M00250)</t>
        </is>
      </c>
      <c r="E3379" s="2" t="inlineStr">
        <is>
          <t>++ </t>
        </is>
      </c>
      <c r="F3379" s="2" t="inlineStr">
        <is>
          <t>++ </t>
        </is>
      </c>
      <c r="H3379" s="2">
        <v>377</v>
      </c>
      <c r="I3379" s="2" t="inlineStr">
        <is>
          <t>$</t>
        </is>
      </c>
      <c r="J3379" s="2">
        <f>HYPERLINK("https://app.astro.lead-studio.pro/product/867bf10b-e5c8-477b-82af-f8f1fedd6f73")</f>
      </c>
    </row>
    <row r="3380" spans="1:10" customHeight="0">
      <c r="A3380" s="2" t="inlineStr">
        <is>
          <t>Компьютеры</t>
        </is>
      </c>
      <c r="B3380" s="2" t="inlineStr">
        <is>
          <t>ASUS</t>
        </is>
      </c>
      <c r="C3380" s="2" t="inlineStr">
        <is>
          <t>90MR00V2-M002W0</t>
        </is>
      </c>
      <c r="D3380" s="2" t="inlineStr">
        <is>
          <t>Неттоп Asus PL64-B-S3092MN i3 1215U (1.2) UHDG без ОС 2.5xGbitEth+1xGbitEth WiFi BT 65W черный (90MR00V2-M002W0)</t>
        </is>
      </c>
      <c r="E3380" s="2" t="inlineStr">
        <is>
          <t>+++ </t>
        </is>
      </c>
      <c r="F3380" s="2" t="inlineStr">
        <is>
          <t>+++ </t>
        </is>
      </c>
      <c r="H3380" s="2">
        <v>420</v>
      </c>
      <c r="I3380" s="2" t="inlineStr">
        <is>
          <t>$</t>
        </is>
      </c>
      <c r="J3380" s="2">
        <f>HYPERLINK("https://app.astro.lead-studio.pro/product/3609d81d-5803-4927-9125-284629687b51")</f>
      </c>
    </row>
    <row r="3381" spans="1:10" customHeight="0">
      <c r="A3381" s="2" t="inlineStr">
        <is>
          <t>Компьютеры</t>
        </is>
      </c>
      <c r="B3381" s="2" t="inlineStr">
        <is>
          <t>ASUS</t>
        </is>
      </c>
      <c r="C3381" s="2" t="inlineStr">
        <is>
          <t>90MR00V1-M003X0</t>
        </is>
      </c>
      <c r="D3381" s="2" t="inlineStr">
        <is>
          <t>Неттоп Asus PL64-B-S3125MN i3 1215U (1.2) UHDG без ОС 2.5xGbitEth+1xGbitEth WiFi BT 65W черный (90MR00V1-M003X0)</t>
        </is>
      </c>
      <c r="E3381" s="2" t="inlineStr">
        <is>
          <t>++ </t>
        </is>
      </c>
      <c r="F3381" s="2" t="inlineStr">
        <is>
          <t>++ </t>
        </is>
      </c>
      <c r="H3381" s="2">
        <v>453</v>
      </c>
      <c r="I3381" s="2" t="inlineStr">
        <is>
          <t>$</t>
        </is>
      </c>
      <c r="J3381" s="2">
        <f>HYPERLINK("https://app.astro.lead-studio.pro/product/62f0635c-ea8b-4abe-b9f9-3c153741ca0d")</f>
      </c>
    </row>
    <row r="3382" spans="1:10" customHeight="0">
      <c r="A3382" s="2" t="inlineStr">
        <is>
          <t>Компьютеры</t>
        </is>
      </c>
      <c r="B3382" s="2" t="inlineStr">
        <is>
          <t>ASUS</t>
        </is>
      </c>
      <c r="C3382" s="2" t="inlineStr">
        <is>
          <t>90MR00V2-M002X0</t>
        </is>
      </c>
      <c r="D3382" s="2" t="inlineStr">
        <is>
          <t>Неттоп Asus PL64-B-S5093MN i5 1235U (1.3) UHDG без ОС 2.5xGbitEth+1xGbitEth WiFi BT 65W черный (90MR00V2-M002X0)</t>
        </is>
      </c>
      <c r="E3382" s="2" t="inlineStr">
        <is>
          <t>++ </t>
        </is>
      </c>
      <c r="F3382" s="2" t="inlineStr">
        <is>
          <t>++ </t>
        </is>
      </c>
      <c r="H3382" s="2">
        <v>526</v>
      </c>
      <c r="I3382" s="2" t="inlineStr">
        <is>
          <t>$</t>
        </is>
      </c>
      <c r="J3382" s="2">
        <f>HYPERLINK("https://app.astro.lead-studio.pro/product/c13f136f-2c8e-4438-8039-2056d75f9228")</f>
      </c>
    </row>
    <row r="3383" spans="1:10" customHeight="0">
      <c r="A3383" s="2" t="inlineStr">
        <is>
          <t>Компьютеры</t>
        </is>
      </c>
      <c r="B3383" s="2" t="inlineStr">
        <is>
          <t>ASUS</t>
        </is>
      </c>
      <c r="C3383" s="2" t="inlineStr">
        <is>
          <t>90MR00V1-M003Y0</t>
        </is>
      </c>
      <c r="D3383" s="2" t="inlineStr">
        <is>
          <t>Неттоп Asus PL64-B-S5126MN i5 1235U (1.3) UHDG без ОС 2.5xGbitEth+1xGbitEth WiFi BT 65W черный (90MR00V1-M003Y0)</t>
        </is>
      </c>
      <c r="E3383" s="2" t="inlineStr">
        <is>
          <t>++ </t>
        </is>
      </c>
      <c r="F3383" s="2" t="inlineStr">
        <is>
          <t>++ </t>
        </is>
      </c>
      <c r="H3383" s="2">
        <v>571</v>
      </c>
      <c r="I3383" s="2" t="inlineStr">
        <is>
          <t>$</t>
        </is>
      </c>
      <c r="J3383" s="2">
        <f>HYPERLINK("https://app.astro.lead-studio.pro/product/80904c38-4cce-482a-895f-cdbf0d656057")</f>
      </c>
    </row>
    <row r="3384" spans="1:10" customHeight="0">
      <c r="A3384" s="2" t="inlineStr">
        <is>
          <t>Компьютеры</t>
        </is>
      </c>
      <c r="B3384" s="2" t="inlineStr">
        <is>
          <t>ASUS</t>
        </is>
      </c>
      <c r="C3384" s="2" t="inlineStr">
        <is>
          <t>90MS02J2-M006M0</t>
        </is>
      </c>
      <c r="D3384" s="2" t="inlineStr">
        <is>
          <t>Неттоп Asus PL64-S3212MN i3 1215U (1.2) 8Gb SSD512Gb UHDG без ОС 2.5xGbitEth+1xGbitEth WiFi BT 65W черный (90MS02J2-M006M0)</t>
        </is>
      </c>
      <c r="E3384" s="2" t="inlineStr">
        <is>
          <t>+++ </t>
        </is>
      </c>
      <c r="F3384" s="2" t="inlineStr">
        <is>
          <t>+++ </t>
        </is>
      </c>
      <c r="H3384" s="2">
        <v>540</v>
      </c>
      <c r="I3384" s="2" t="inlineStr">
        <is>
          <t>$</t>
        </is>
      </c>
      <c r="J3384" s="2">
        <f>HYPERLINK("https://app.astro.lead-studio.pro/product/5c6e42f4-f2c6-4dc3-af83-b6fb274f2bfa")</f>
      </c>
    </row>
    <row r="3385" spans="1:10" customHeight="0">
      <c r="A3385" s="2" t="inlineStr">
        <is>
          <t>Компьютеры</t>
        </is>
      </c>
      <c r="B3385" s="2" t="inlineStr">
        <is>
          <t>ASUS</t>
        </is>
      </c>
      <c r="C3385" s="2" t="inlineStr">
        <is>
          <t>90MS02J2-M006N0</t>
        </is>
      </c>
      <c r="D3385" s="2" t="inlineStr">
        <is>
          <t>Неттоп Asus PL64-S5213MN i5 1235U (1.3) 16Gb SSD512Gb UHDG без ОС 2.5xGbitEth+1xGbitEth WiFi BT 65W черный (90MS02J2-M006N0)</t>
        </is>
      </c>
      <c r="E3385" s="2" t="inlineStr">
        <is>
          <t>++ </t>
        </is>
      </c>
      <c r="F3385" s="2" t="inlineStr">
        <is>
          <t>++ </t>
        </is>
      </c>
      <c r="H3385" s="2">
        <v>714</v>
      </c>
      <c r="I3385" s="2" t="inlineStr">
        <is>
          <t>$</t>
        </is>
      </c>
      <c r="J3385" s="2">
        <f>HYPERLINK("https://app.astro.lead-studio.pro/product/6acae651-7487-4520-aaed-943ed4aac759")</f>
      </c>
    </row>
    <row r="3386" spans="1:10" customHeight="0">
      <c r="A3386" s="2" t="inlineStr">
        <is>
          <t>Компьютеры</t>
        </is>
      </c>
      <c r="B3386" s="2" t="inlineStr">
        <is>
          <t>ASUS</t>
        </is>
      </c>
      <c r="C3386" s="2" t="inlineStr">
        <is>
          <t>90MR00S2-M00350</t>
        </is>
      </c>
      <c r="D3386" s="2" t="inlineStr">
        <is>
          <t>Неттоп Asus PN53-B-S5100MD Ryzen 5 7535HS (3.3) 660M без ОС 2.5xGbitEth WiFi BT 150W черный (90MR00S2-M00350)</t>
        </is>
      </c>
      <c r="E3386" s="2" t="inlineStr">
        <is>
          <t>+++ </t>
        </is>
      </c>
      <c r="F3386" s="2" t="inlineStr">
        <is>
          <t>+++ </t>
        </is>
      </c>
      <c r="H3386" s="2">
        <v>541</v>
      </c>
      <c r="I3386" s="2" t="inlineStr">
        <is>
          <t>$</t>
        </is>
      </c>
      <c r="J3386" s="2">
        <f>HYPERLINK("https://app.astro.lead-studio.pro/product/d75dfb4b-91b4-4230-a7bd-eaf57d711747")</f>
      </c>
    </row>
    <row r="3387" spans="1:10" customHeight="0">
      <c r="A3387" s="2" t="inlineStr">
        <is>
          <t>Компьютеры</t>
        </is>
      </c>
      <c r="B3387" s="2" t="inlineStr">
        <is>
          <t>ASUS</t>
        </is>
      </c>
      <c r="C3387" s="2" t="inlineStr">
        <is>
          <t>90MS02H1-M00540</t>
        </is>
      </c>
      <c r="D3387" s="2" t="inlineStr">
        <is>
          <t>Неттоп Asus PN53-S5163MD Ryzen 5 7535HS (3.3) 16Gb SSD512Gb 660M без ОС 2.5xGbitEth WiFi BT 150W черный (90MS02H1-M00540)</t>
        </is>
      </c>
      <c r="E3387" s="2" t="inlineStr">
        <is>
          <t>++ </t>
        </is>
      </c>
      <c r="F3387" s="2" t="inlineStr">
        <is>
          <t>++ </t>
        </is>
      </c>
      <c r="H3387" s="2">
        <v>715</v>
      </c>
      <c r="I3387" s="2" t="inlineStr">
        <is>
          <t>$</t>
        </is>
      </c>
      <c r="J3387" s="2">
        <f>HYPERLINK("https://app.astro.lead-studio.pro/product/1a6d252a-b208-4126-bbe5-72532b7e6203")</f>
      </c>
    </row>
    <row r="3388" spans="1:10" customHeight="0">
      <c r="A3388" s="2" t="inlineStr">
        <is>
          <t>Компьютеры</t>
        </is>
      </c>
      <c r="B3388" s="2" t="inlineStr">
        <is>
          <t>ASUS</t>
        </is>
      </c>
      <c r="C3388" s="2" t="inlineStr">
        <is>
          <t>90MR00U2-M00580</t>
        </is>
      </c>
      <c r="D3388" s="2" t="inlineStr">
        <is>
          <t>Неттоп Asus PN64-B-S3168MD i3 1220P (1.5) UHDG без ОС 2.5xGbitEth WiFi BT 90W черный (90MR00U2-M00580)</t>
        </is>
      </c>
      <c r="E3388" s="2" t="inlineStr">
        <is>
          <t>+ </t>
        </is>
      </c>
      <c r="F3388" s="2" t="inlineStr">
        <is>
          <t>+ </t>
        </is>
      </c>
      <c r="H3388" s="2">
        <v>383</v>
      </c>
      <c r="I3388" s="2" t="inlineStr">
        <is>
          <t>$</t>
        </is>
      </c>
      <c r="J3388" s="2">
        <f>HYPERLINK("https://app.astro.lead-studio.pro/product/3f618e22-a0ac-4e00-befd-64a42c3eb770")</f>
      </c>
    </row>
    <row r="3389" spans="1:10" customHeight="0">
      <c r="A3389" s="2" t="inlineStr">
        <is>
          <t>Компьютеры</t>
        </is>
      </c>
      <c r="B3389" s="2" t="inlineStr">
        <is>
          <t>ASUS</t>
        </is>
      </c>
      <c r="C3389" s="2" t="inlineStr">
        <is>
          <t>90MR00U2-M008W0</t>
        </is>
      </c>
      <c r="D3389" s="2" t="inlineStr">
        <is>
          <t>Неттоп Asus PN64-B-S5284MD i5 13500H (2.6) UHDG без ОС 2.5xGbitEth WiFi BT 120W черный (90MR00U2-M008W0)</t>
        </is>
      </c>
      <c r="E3389" s="2" t="inlineStr">
        <is>
          <t>+++ </t>
        </is>
      </c>
      <c r="F3389" s="2" t="inlineStr">
        <is>
          <t>+++ </t>
        </is>
      </c>
      <c r="H3389" s="2">
        <v>558</v>
      </c>
      <c r="I3389" s="2" t="inlineStr">
        <is>
          <t>$</t>
        </is>
      </c>
      <c r="J3389" s="2">
        <f>HYPERLINK("https://app.astro.lead-studio.pro/product/edaa9a47-e384-4c53-a637-721cc9ff450d")</f>
      </c>
    </row>
    <row r="3390" spans="1:10" customHeight="0">
      <c r="A3390" s="2" t="inlineStr">
        <is>
          <t>Компьютеры</t>
        </is>
      </c>
      <c r="B3390" s="2" t="inlineStr">
        <is>
          <t>ASUS</t>
        </is>
      </c>
      <c r="C3390" s="2" t="inlineStr">
        <is>
          <t>90MR00U2-M008Y0</t>
        </is>
      </c>
      <c r="D3390" s="2" t="inlineStr">
        <is>
          <t>Неттоп Asus PN64-B-S7286MD i7 13700H (2.4) UHDG без ОС 2.5xGbitEth WiFi BT 120W черный (90MR00U2-M008Y0)</t>
        </is>
      </c>
      <c r="E3390" s="2" t="inlineStr">
        <is>
          <t>++ </t>
        </is>
      </c>
      <c r="F3390" s="2" t="inlineStr">
        <is>
          <t>++ </t>
        </is>
      </c>
      <c r="H3390" s="2">
        <v>746</v>
      </c>
      <c r="I3390" s="2" t="inlineStr">
        <is>
          <t>$</t>
        </is>
      </c>
      <c r="J3390" s="2">
        <f>HYPERLINK("https://app.astro.lead-studio.pro/product/ce3d9ffc-2741-4202-91cf-cabab24bff10")</f>
      </c>
    </row>
    <row r="3391" spans="1:10" customHeight="0">
      <c r="A3391" s="2" t="inlineStr">
        <is>
          <t>Компьютеры</t>
        </is>
      </c>
      <c r="B3391" s="2" t="inlineStr">
        <is>
          <t>ASUS</t>
        </is>
      </c>
      <c r="C3391" s="2" t="inlineStr">
        <is>
          <t>90MS02G1-M00RN0</t>
        </is>
      </c>
      <c r="D3391" s="2" t="inlineStr">
        <is>
          <t>Неттоп Asus PN64-S3755MD i3 1220P (1.5) 8Gb SSD512Gb UHDG без ОС 2.5xGbitEth WiFi BT 90W черный (90MS02G1-M00RN0)</t>
        </is>
      </c>
      <c r="E3391" s="2" t="inlineStr">
        <is>
          <t>+ </t>
        </is>
      </c>
      <c r="F3391" s="2" t="inlineStr">
        <is>
          <t>+ </t>
        </is>
      </c>
      <c r="H3391" s="2">
        <v>488</v>
      </c>
      <c r="I3391" s="2" t="inlineStr">
        <is>
          <t>$</t>
        </is>
      </c>
      <c r="J3391" s="2">
        <f>HYPERLINK("https://app.astro.lead-studio.pro/product/5f035a30-aed7-4009-89c8-7430db95dcd5")</f>
      </c>
    </row>
    <row r="3392" spans="1:10" customHeight="0">
      <c r="A3392" s="2" t="inlineStr">
        <is>
          <t>Компьютеры</t>
        </is>
      </c>
      <c r="B3392" s="2" t="inlineStr">
        <is>
          <t>ASUS</t>
        </is>
      </c>
      <c r="C3392" s="2" t="inlineStr">
        <is>
          <t>90MS02G1-M00RR0</t>
        </is>
      </c>
      <c r="D3392" s="2" t="inlineStr">
        <is>
          <t>Неттоп Asus PN64-S7757MD i7 13700H (2.4) 16Gb SSD1Tb Iris Xe без ОС 2.5xGbitEth WiFi BT 120W черный (90MS02G1-M00RR0)</t>
        </is>
      </c>
      <c r="E3392" s="2" t="inlineStr">
        <is>
          <t>++ </t>
        </is>
      </c>
      <c r="F3392" s="2" t="inlineStr">
        <is>
          <t>++ </t>
        </is>
      </c>
      <c r="H3392" s="2">
        <v>962</v>
      </c>
      <c r="I3392" s="2" t="inlineStr">
        <is>
          <t>$</t>
        </is>
      </c>
      <c r="J3392" s="2">
        <f>HYPERLINK("https://app.astro.lead-studio.pro/product/2eb1b8f7-2162-4032-9b57-ab265d79e5d8")</f>
      </c>
    </row>
    <row r="3393" spans="1:10" customHeight="0">
      <c r="A3393" s="2" t="inlineStr">
        <is>
          <t>Компьютеры</t>
        </is>
      </c>
      <c r="B3393" s="2" t="inlineStr">
        <is>
          <t>ASUS</t>
        </is>
      </c>
      <c r="C3393" s="2" t="inlineStr">
        <is>
          <t>90MS02T1-M001K0</t>
        </is>
      </c>
      <c r="D3393" s="2" t="inlineStr">
        <is>
          <t>Неттоп Asus PN65-S5050MD Core Ultra 5 125H (1.2) 16Gb SSD512Gb Arc graphics без ОС 2.5xGbitEth WiFi BT 120W черный (90MS02T1-M001K0)</t>
        </is>
      </c>
      <c r="E3393" s="2" t="inlineStr">
        <is>
          <t>+ </t>
        </is>
      </c>
      <c r="F3393" s="2" t="inlineStr">
        <is>
          <t>+ </t>
        </is>
      </c>
      <c r="H3393" s="2">
        <v>797</v>
      </c>
      <c r="I3393" s="2" t="inlineStr">
        <is>
          <t>$</t>
        </is>
      </c>
      <c r="J3393" s="2">
        <f>HYPERLINK("https://app.astro.lead-studio.pro/product/e6588482-5713-410b-863a-74316581d388")</f>
      </c>
    </row>
    <row r="3394" spans="1:10" customHeight="0">
      <c r="A3394" s="2" t="inlineStr">
        <is>
          <t>Компьютеры</t>
        </is>
      </c>
      <c r="B3394" s="2" t="inlineStr">
        <is>
          <t>ASUS</t>
        </is>
      </c>
      <c r="C3394" s="2" t="inlineStr">
        <is>
          <t>90MS02T1-M001N0</t>
        </is>
      </c>
      <c r="D3394" s="2" t="inlineStr">
        <is>
          <t>Неттоп Asus PN65-S7053MD Core Ultra 7 155H (1.4) 16Gb SSD512Gb Arc graphics без ОС 2.5xGbitEth WiFi BT 120W черный (90MS02T1-M001N0)</t>
        </is>
      </c>
      <c r="E3394" s="2" t="inlineStr">
        <is>
          <t>+ </t>
        </is>
      </c>
      <c r="F3394" s="2" t="inlineStr">
        <is>
          <t>+ </t>
        </is>
      </c>
      <c r="H3394" s="2">
        <v>1008</v>
      </c>
      <c r="I3394" s="2" t="inlineStr">
        <is>
          <t>$</t>
        </is>
      </c>
      <c r="J3394" s="2">
        <f>HYPERLINK("https://app.astro.lead-studio.pro/product/4f86b217-e5dc-4a92-898d-bdf80805c495")</f>
      </c>
    </row>
    <row r="3395" spans="1:10" customHeight="0">
      <c r="A3395" s="2" t="inlineStr">
        <is>
          <t>Компьютеры</t>
        </is>
      </c>
      <c r="B3395" s="2" t="inlineStr">
        <is>
          <t>DELL</t>
        </is>
      </c>
      <c r="C3395" s="2" t="inlineStr">
        <is>
          <t>7010-5820</t>
        </is>
      </c>
      <c r="D3395" s="2" t="inlineStr">
        <is>
          <t>Неттоп Dell Optiplex 7010 Micro i5 13500T (1.6) 8Gb SSD256Gb UHDG 770 Linux GbitEth WiFi BT 260W мышь клавиатура черный (7010-5820)</t>
        </is>
      </c>
      <c r="E3395" s="2" t="inlineStr">
        <is>
          <t>+ </t>
        </is>
      </c>
      <c r="F3395" s="2" t="inlineStr">
        <is>
          <t>+ </t>
        </is>
      </c>
      <c r="H3395" s="2">
        <v>688</v>
      </c>
      <c r="I3395" s="2" t="inlineStr">
        <is>
          <t>$</t>
        </is>
      </c>
      <c r="J3395" s="2">
        <f>HYPERLINK("https://app.astro.lead-studio.pro/product/2fce8e32-f239-4865-9383-f50049554887")</f>
      </c>
    </row>
    <row r="3396" spans="1:10" customHeight="0">
      <c r="A3396" s="2" t="inlineStr">
        <is>
          <t>Компьютеры</t>
        </is>
      </c>
      <c r="B3396" s="2" t="inlineStr">
        <is>
          <t>DELL</t>
        </is>
      </c>
      <c r="C3396" s="2" t="inlineStr">
        <is>
          <t>7020-1860</t>
        </is>
      </c>
      <c r="D3396" s="2" t="inlineStr">
        <is>
          <t>Неттоп Dell Optiplex 7020 Micro Core 300T (3.4) 8Gb SSD256Gb UHDG 710 Linux Ubuntu GbitEth WiFi BT 90W мышь клавиатура черный (7020-1860)</t>
        </is>
      </c>
      <c r="E3396" s="2" t="inlineStr">
        <is>
          <t>+++ </t>
        </is>
      </c>
      <c r="F3396" s="2" t="inlineStr">
        <is>
          <t>+++ </t>
        </is>
      </c>
      <c r="H3396" s="2">
        <v>536</v>
      </c>
      <c r="I3396" s="2" t="inlineStr">
        <is>
          <t>$</t>
        </is>
      </c>
      <c r="J3396" s="2">
        <f>HYPERLINK("https://app.astro.lead-studio.pro/product/46ee2e5d-f4b7-44a7-bf3e-917d72aa5ad9")</f>
      </c>
    </row>
    <row r="3397" spans="1:10" customHeight="0">
      <c r="A3397" s="2" t="inlineStr">
        <is>
          <t>Компьютеры</t>
        </is>
      </c>
      <c r="B3397" s="2" t="inlineStr">
        <is>
          <t>DELL</t>
        </is>
      </c>
      <c r="C3397" s="2" t="inlineStr">
        <is>
          <t>7020-3620</t>
        </is>
      </c>
      <c r="D3397" s="2" t="inlineStr">
        <is>
          <t>Неттоп Dell Optiplex 7020 Micro i3 14100T (2.7) 16Gb SSD512Gb UHDG 730 Linux Ubuntu GbitEth WiFi BT 90W мышь клавиатура черный (7020-3620)</t>
        </is>
      </c>
      <c r="E3397" s="2" t="inlineStr">
        <is>
          <t>+ </t>
        </is>
      </c>
      <c r="F3397" s="2" t="inlineStr">
        <is>
          <t>+ </t>
        </is>
      </c>
      <c r="H3397" s="2">
        <v>739</v>
      </c>
      <c r="I3397" s="2" t="inlineStr">
        <is>
          <t>$</t>
        </is>
      </c>
      <c r="J3397" s="2">
        <f>HYPERLINK("https://app.astro.lead-studio.pro/product/5fced7c0-d390-4d0a-b38e-aad757b1e4b6")</f>
      </c>
    </row>
    <row r="3398" spans="1:10" customHeight="0">
      <c r="A3398" s="2" t="inlineStr">
        <is>
          <t>Компьютеры</t>
        </is>
      </c>
      <c r="B3398" s="2" t="inlineStr">
        <is>
          <t>DELL</t>
        </is>
      </c>
      <c r="C3398" s="2" t="inlineStr">
        <is>
          <t>7020-3621</t>
        </is>
      </c>
      <c r="D3398" s="2" t="inlineStr">
        <is>
          <t>Неттоп Dell Optiplex 7020 Micro i3 14100T (2.7) 16Gb SSD512Gb UHDG 730 Windows 11 Pro GbitEth WiFi BT 90W мышь клавиатура черный (7020-3621)</t>
        </is>
      </c>
      <c r="E3398" s="2" t="inlineStr">
        <is>
          <t>+ </t>
        </is>
      </c>
      <c r="F3398" s="2" t="inlineStr">
        <is>
          <t>+ </t>
        </is>
      </c>
      <c r="H3398" s="2">
        <v>976</v>
      </c>
      <c r="I3398" s="2" t="inlineStr">
        <is>
          <t>$</t>
        </is>
      </c>
      <c r="J3398" s="2">
        <f>HYPERLINK("https://app.astro.lead-studio.pro/product/e3d94ab0-f7fd-4d29-8046-72c6da80e90e")</f>
      </c>
    </row>
    <row r="3399" spans="1:10" customHeight="0">
      <c r="A3399" s="2" t="inlineStr">
        <is>
          <t>Компьютеры</t>
        </is>
      </c>
      <c r="B3399" s="2" t="inlineStr">
        <is>
          <t>DELL</t>
        </is>
      </c>
      <c r="C3399" s="2" t="inlineStr">
        <is>
          <t>7020-3860</t>
        </is>
      </c>
      <c r="D3399" s="2" t="inlineStr">
        <is>
          <t>Неттоп Dell Optiplex 7020 Micro i3 14100T (2.7) 8Gb SSD256Gb UHDG 730 Linux Ubuntu GbitEth WiFi BT 90W мышь клавиатура черный (7020-3860)</t>
        </is>
      </c>
      <c r="E3399" s="2" t="inlineStr">
        <is>
          <t>+++ </t>
        </is>
      </c>
      <c r="F3399" s="2" t="inlineStr">
        <is>
          <t>+++ </t>
        </is>
      </c>
      <c r="H3399" s="2">
        <v>630</v>
      </c>
      <c r="I3399" s="2" t="inlineStr">
        <is>
          <t>$</t>
        </is>
      </c>
      <c r="J3399" s="2">
        <f>HYPERLINK("https://app.astro.lead-studio.pro/product/411200bb-01b0-4ea6-9208-bad1f97a0955")</f>
      </c>
    </row>
    <row r="3400" spans="1:10" customHeight="0">
      <c r="A3400" s="2" t="inlineStr">
        <is>
          <t>Компьютеры</t>
        </is>
      </c>
      <c r="B3400" s="2" t="inlineStr">
        <is>
          <t>DELL</t>
        </is>
      </c>
      <c r="C3400" s="2" t="inlineStr">
        <is>
          <t>7020-3861</t>
        </is>
      </c>
      <c r="D3400" s="2" t="inlineStr">
        <is>
          <t>Неттоп Dell Optiplex 7020 Micro i3 14100T (2.7) 8Gb SSD256Gb UHDG 730 Windows 11 Pro GbitEth WiFi BT 90W мышь клавиатура черный (7020-3861)</t>
        </is>
      </c>
      <c r="E3400" s="2" t="inlineStr">
        <is>
          <t>+++ </t>
        </is>
      </c>
      <c r="F3400" s="2" t="inlineStr">
        <is>
          <t>+++ </t>
        </is>
      </c>
      <c r="H3400" s="2">
        <v>834</v>
      </c>
      <c r="I3400" s="2" t="inlineStr">
        <is>
          <t>$</t>
        </is>
      </c>
      <c r="J3400" s="2">
        <f>HYPERLINK("https://app.astro.lead-studio.pro/product/0a4a2073-8e88-46fe-aa6a-8a37195a6757")</f>
      </c>
    </row>
    <row r="3401" spans="1:10" customHeight="0">
      <c r="A3401" s="2" t="inlineStr">
        <is>
          <t>Компьютеры</t>
        </is>
      </c>
      <c r="B3401" s="2" t="inlineStr">
        <is>
          <t>DELL</t>
        </is>
      </c>
      <c r="C3401" s="2" t="inlineStr">
        <is>
          <t>7020-3850</t>
        </is>
      </c>
      <c r="D3401" s="2" t="inlineStr">
        <is>
          <t>Неттоп Dell Optiplex 7020 Micro i3 14100T (2.7) 8Gb SSD512Gb UHDG 730 Linux Ubuntu GbitEth WiFi BT 65W мышь клавиатура черный (7020-3850)</t>
        </is>
      </c>
      <c r="E3401" s="2" t="inlineStr">
        <is>
          <t>+++ </t>
        </is>
      </c>
      <c r="F3401" s="2" t="inlineStr">
        <is>
          <t>+++ </t>
        </is>
      </c>
      <c r="H3401" s="2">
        <v>707</v>
      </c>
      <c r="I3401" s="2" t="inlineStr">
        <is>
          <t>$</t>
        </is>
      </c>
      <c r="J3401" s="2">
        <f>HYPERLINK("https://app.astro.lead-studio.pro/product/f22280fb-4354-4c2f-aa3a-3f7464fd4090")</f>
      </c>
    </row>
    <row r="3402" spans="1:10" customHeight="0">
      <c r="A3402" s="2" t="inlineStr">
        <is>
          <t>Компьютеры</t>
        </is>
      </c>
      <c r="B3402" s="2" t="inlineStr">
        <is>
          <t>DELL</t>
        </is>
      </c>
      <c r="C3402" s="2" t="inlineStr">
        <is>
          <t>7020-3851</t>
        </is>
      </c>
      <c r="D3402" s="2" t="inlineStr">
        <is>
          <t>Неттоп Dell Optiplex 7020 Micro i3 14100T (2.7) 8Gb SSD512Gb UHDG 730 Windows 11 Pro GbitEth WiFi BT 65W мышь клавиатура черный (7020-3851)</t>
        </is>
      </c>
      <c r="E3402" s="2" t="inlineStr">
        <is>
          <t>++ </t>
        </is>
      </c>
      <c r="F3402" s="2" t="inlineStr">
        <is>
          <t>++ </t>
        </is>
      </c>
      <c r="H3402" s="2">
        <v>917</v>
      </c>
      <c r="I3402" s="2" t="inlineStr">
        <is>
          <t>$</t>
        </is>
      </c>
      <c r="J3402" s="2">
        <f>HYPERLINK("https://app.astro.lead-studio.pro/product/a6a33c41-7442-47cf-b7b3-397817e4b968")</f>
      </c>
    </row>
    <row r="3403" spans="1:10" customHeight="0">
      <c r="A3403" s="2" t="inlineStr">
        <is>
          <t>Компьютеры</t>
        </is>
      </c>
      <c r="B3403" s="2" t="inlineStr">
        <is>
          <t>DELL</t>
        </is>
      </c>
      <c r="C3403" s="2" t="inlineStr">
        <is>
          <t>7020-5860</t>
        </is>
      </c>
      <c r="D3403" s="2" t="inlineStr">
        <is>
          <t>Неттоп Dell Optiplex 7020 Micro i5 14500T (1.7) 8Gb SSD256Gb UHDG 770 Linux Ubuntu GbitEth WiFi BT 90W мышь клавиатура черный (7020-5860)</t>
        </is>
      </c>
      <c r="E3403" s="2" t="inlineStr">
        <is>
          <t>+++ </t>
        </is>
      </c>
      <c r="F3403" s="2" t="inlineStr">
        <is>
          <t>+++ </t>
        </is>
      </c>
      <c r="H3403" s="2">
        <v>738</v>
      </c>
      <c r="I3403" s="2" t="inlineStr">
        <is>
          <t>$</t>
        </is>
      </c>
      <c r="J3403" s="2">
        <f>HYPERLINK("https://app.astro.lead-studio.pro/product/a542f47f-bb28-4109-b17e-2e36c9f7f62d")</f>
      </c>
    </row>
    <row r="3404" spans="1:10" customHeight="0">
      <c r="A3404" s="2" t="inlineStr">
        <is>
          <t>Компьютеры</t>
        </is>
      </c>
      <c r="B3404" s="2" t="inlineStr">
        <is>
          <t>DELL</t>
        </is>
      </c>
      <c r="C3404" s="2" t="inlineStr">
        <is>
          <t>7020-5820</t>
        </is>
      </c>
      <c r="D3404" s="2" t="inlineStr">
        <is>
          <t>Неттоп Dell Optiplex 7020 Micro i5 14500T (1.7) 8Gb SSD512Gb UHDG 770 Linux Ubuntu GbitEth WiFi BT 90W мышь клавиатура черный (7020-5820)</t>
        </is>
      </c>
      <c r="E3404" s="2" t="inlineStr">
        <is>
          <t>+++ </t>
        </is>
      </c>
      <c r="F3404" s="2" t="inlineStr">
        <is>
          <t>+++ </t>
        </is>
      </c>
      <c r="H3404" s="2">
        <v>812</v>
      </c>
      <c r="I3404" s="2" t="inlineStr">
        <is>
          <t>$</t>
        </is>
      </c>
      <c r="J3404" s="2">
        <f>HYPERLINK("https://app.astro.lead-studio.pro/product/19cd09a6-7010-45e0-971c-d6d8d5c0606e")</f>
      </c>
    </row>
    <row r="3405" spans="1:10" customHeight="0">
      <c r="A3405" s="2" t="inlineStr">
        <is>
          <t>Компьютеры</t>
        </is>
      </c>
      <c r="B3405" s="2" t="inlineStr">
        <is>
          <t>DELL</t>
        </is>
      </c>
      <c r="C3405" s="2" t="inlineStr">
        <is>
          <t>7020-5821</t>
        </is>
      </c>
      <c r="D3405" s="2" t="inlineStr">
        <is>
          <t>Неттоп Dell Optiplex 7020 Micro i5 14500T (1.7) 8Gb SSD512Gb UHDG 770 Windows 11 Pro GbitEth WiFi BT 90W мышь клавиатура черный (7020-5821)</t>
        </is>
      </c>
      <c r="E3405" s="2" t="inlineStr">
        <is>
          <t>+ </t>
        </is>
      </c>
      <c r="F3405" s="2" t="inlineStr">
        <is>
          <t>+ </t>
        </is>
      </c>
      <c r="H3405" s="2">
        <v>1055</v>
      </c>
      <c r="I3405" s="2" t="inlineStr">
        <is>
          <t>$</t>
        </is>
      </c>
      <c r="J3405" s="2">
        <f>HYPERLINK("https://app.astro.lead-studio.pro/product/917efe13-277e-45ff-9ea7-96abdb117bd3")</f>
      </c>
    </row>
    <row r="3406" spans="1:10" customHeight="0">
      <c r="A3406" s="2" t="inlineStr">
        <is>
          <t>Компьютеры</t>
        </is>
      </c>
      <c r="B3406" s="2" t="inlineStr">
        <is>
          <t>DELL</t>
        </is>
      </c>
      <c r="C3406" s="2" t="inlineStr">
        <is>
          <t>7020P-5820</t>
        </is>
      </c>
      <c r="D3406" s="2" t="inlineStr">
        <is>
          <t>Неттоп Dell Optiplex 7020 Plus Micro i5 14500 (2.6) 8Gb SSD512Gb UHDG 770 Linux Ubuntu GbitEth WiFi BT 180W мышь клавиатура черный (7020P-5820)</t>
        </is>
      </c>
      <c r="E3406" s="2" t="inlineStr">
        <is>
          <t>+ </t>
        </is>
      </c>
      <c r="F3406" s="2" t="inlineStr">
        <is>
          <t>+ </t>
        </is>
      </c>
      <c r="H3406" s="2">
        <v>849</v>
      </c>
      <c r="I3406" s="2" t="inlineStr">
        <is>
          <t>$</t>
        </is>
      </c>
      <c r="J3406" s="2">
        <f>HYPERLINK("https://app.astro.lead-studio.pro/product/61faf494-010f-4f0b-b815-ea62241c94e2")</f>
      </c>
    </row>
    <row r="3407" spans="1:10" customHeight="0">
      <c r="A3407" s="2" t="inlineStr">
        <is>
          <t>Компьютеры</t>
        </is>
      </c>
      <c r="B3407" s="2" t="inlineStr">
        <is>
          <t>DELL</t>
        </is>
      </c>
      <c r="C3407" s="2" t="inlineStr">
        <is>
          <t>7010-1877</t>
        </is>
      </c>
      <c r="D3407" s="2" t="inlineStr">
        <is>
          <t>ПК Dell Optiplex 7010 PLUS MT i7 13700 (2.1) 16Gb SSD512Gb UHDG 770/DVDRW FreeDOS GbitEth 260W мышь клавиатура черный (7010-1877)</t>
        </is>
      </c>
      <c r="E3407" s="2" t="inlineStr">
        <is>
          <t>+ </t>
        </is>
      </c>
      <c r="F3407" s="2" t="inlineStr">
        <is>
          <t>+ </t>
        </is>
      </c>
      <c r="H3407" s="2">
        <v>1168</v>
      </c>
      <c r="I3407" s="2" t="inlineStr">
        <is>
          <t>$</t>
        </is>
      </c>
      <c r="J3407" s="2">
        <f>HYPERLINK("https://app.astro.lead-studio.pro/product/5823290b-ecb4-44d2-90cc-2ff92862a74c")</f>
      </c>
    </row>
    <row r="3408" spans="1:10" customHeight="0">
      <c r="A3408" s="2" t="inlineStr">
        <is>
          <t>Компьютеры</t>
        </is>
      </c>
      <c r="B3408" s="2" t="inlineStr">
        <is>
          <t>DELL</t>
        </is>
      </c>
      <c r="C3408" s="2" t="inlineStr">
        <is>
          <t>7010-1855</t>
        </is>
      </c>
      <c r="D3408" s="2" t="inlineStr">
        <is>
          <t>ПК Dell Optiplex 7010 PLUS MT i7 13700 (2.1) 32Gb SSD512Gb UHDG 770/DVDRW Windows 11 Pro GbitEth 260W мышь клавиатура черный (7010-1855)</t>
        </is>
      </c>
      <c r="E3408" s="2" t="inlineStr">
        <is>
          <t>++ </t>
        </is>
      </c>
      <c r="F3408" s="2" t="inlineStr">
        <is>
          <t>++ </t>
        </is>
      </c>
      <c r="H3408" s="2">
        <v>1475</v>
      </c>
      <c r="I3408" s="2" t="inlineStr">
        <is>
          <t>$</t>
        </is>
      </c>
      <c r="J3408" s="2">
        <f>HYPERLINK("https://app.astro.lead-studio.pro/product/d125d8ec-1f30-4a84-88c1-e39ace9ab670")</f>
      </c>
    </row>
    <row r="3409" spans="1:10" customHeight="0">
      <c r="A3409" s="2" t="inlineStr">
        <is>
          <t>Компьютеры</t>
        </is>
      </c>
      <c r="B3409" s="2" t="inlineStr">
        <is>
          <t>DELL</t>
        </is>
      </c>
      <c r="C3409" s="2" t="inlineStr">
        <is>
          <t>7020SP-76741</t>
        </is>
      </c>
      <c r="D3409" s="2" t="inlineStr">
        <is>
          <t>ПК Dell Optiplex 7020 Plus SFF i7 14700 (2.1) 16Gb 1Tb 7.2k SSD256Gb RX 6500 4Gb Linux Ubuntu GbitEth 260W мышь клавиатура черный (7020SP-76741)</t>
        </is>
      </c>
      <c r="E3409" s="2" t="inlineStr">
        <is>
          <t>+ </t>
        </is>
      </c>
      <c r="F3409" s="2" t="inlineStr">
        <is>
          <t>+ </t>
        </is>
      </c>
      <c r="H3409" s="2">
        <v>1760</v>
      </c>
      <c r="I3409" s="2" t="inlineStr">
        <is>
          <t>$</t>
        </is>
      </c>
      <c r="J3409" s="2">
        <f>HYPERLINK("https://app.astro.lead-studio.pro/product/5da1f0b9-ac5c-4735-892e-ab986dc78313")</f>
      </c>
    </row>
    <row r="3410" spans="1:10" customHeight="0">
      <c r="A3410" s="2" t="inlineStr">
        <is>
          <t>Компьютеры</t>
        </is>
      </c>
      <c r="B3410" s="2" t="inlineStr">
        <is>
          <t>DELL</t>
        </is>
      </c>
      <c r="C3410" s="2" t="inlineStr">
        <is>
          <t>7020S-3860</t>
        </is>
      </c>
      <c r="D3410" s="2" t="inlineStr">
        <is>
          <t>ПК Dell Optiplex 7020 SFF i3 14100 (3.5) 8Gb SSD256Gb UHDG 730 Linux Ubuntu GbitEth 180W мышь клавиатура черный (7020S-3860)</t>
        </is>
      </c>
      <c r="E3410" s="2" t="inlineStr">
        <is>
          <t>+++ </t>
        </is>
      </c>
      <c r="F3410" s="2" t="inlineStr">
        <is>
          <t>+++ </t>
        </is>
      </c>
      <c r="H3410" s="2">
        <v>643</v>
      </c>
      <c r="I3410" s="2" t="inlineStr">
        <is>
          <t>$</t>
        </is>
      </c>
      <c r="J3410" s="2">
        <f>HYPERLINK("https://app.astro.lead-studio.pro/product/3ef5aef0-8766-4637-99e4-64999dc209bc")</f>
      </c>
    </row>
    <row r="3411" spans="1:10" customHeight="0">
      <c r="A3411" s="2" t="inlineStr">
        <is>
          <t>Компьютеры</t>
        </is>
      </c>
      <c r="B3411" s="2" t="inlineStr">
        <is>
          <t>DELL</t>
        </is>
      </c>
      <c r="C3411" s="2" t="inlineStr">
        <is>
          <t>7020S-3861</t>
        </is>
      </c>
      <c r="D3411" s="2" t="inlineStr">
        <is>
          <t>ПК Dell Optiplex 7020 SFF i3 14100 (3.5) 8Gb SSD256Gb UHDG 730 Windows 11 Pro GbitEth 180W мышь клавиатура черный (7020S-3861)</t>
        </is>
      </c>
      <c r="E3411" s="2" t="inlineStr">
        <is>
          <t>+ </t>
        </is>
      </c>
      <c r="F3411" s="2" t="inlineStr">
        <is>
          <t>+ </t>
        </is>
      </c>
      <c r="H3411" s="2">
        <v>874</v>
      </c>
      <c r="I3411" s="2" t="inlineStr">
        <is>
          <t>$</t>
        </is>
      </c>
      <c r="J3411" s="2">
        <f>HYPERLINK("https://app.astro.lead-studio.pro/product/03cb43d7-fc69-40b2-8f15-c2cc9c0457e9")</f>
      </c>
    </row>
    <row r="3412" spans="1:10" customHeight="0">
      <c r="A3412" s="2" t="inlineStr">
        <is>
          <t>Компьютеры</t>
        </is>
      </c>
      <c r="B3412" s="2" t="inlineStr">
        <is>
          <t>DELL</t>
        </is>
      </c>
      <c r="C3412" s="2" t="inlineStr">
        <is>
          <t>7020S-56720</t>
        </is>
      </c>
      <c r="D3412" s="2" t="inlineStr">
        <is>
          <t>ПК Dell Optiplex 7020 SFF i5 14500 (2.6) 16Gb 1Tb 7.2k SSD256Gb RX 6300 2Gb Linux Ubuntu GbitEth 180W мышь клавиатура черный (7020S-56720)</t>
        </is>
      </c>
      <c r="E3412" s="2" t="inlineStr">
        <is>
          <t>+ </t>
        </is>
      </c>
      <c r="F3412" s="2" t="inlineStr">
        <is>
          <t>+ </t>
        </is>
      </c>
      <c r="H3412" s="2">
        <v>1119</v>
      </c>
      <c r="I3412" s="2" t="inlineStr">
        <is>
          <t>$</t>
        </is>
      </c>
      <c r="J3412" s="2">
        <f>HYPERLINK("https://app.astro.lead-studio.pro/product/d7d7240f-2b55-4d9a-aba0-1b7bd4298a89")</f>
      </c>
    </row>
    <row r="3413" spans="1:10" customHeight="0">
      <c r="A3413" s="2" t="inlineStr">
        <is>
          <t>Компьютеры</t>
        </is>
      </c>
      <c r="B3413" s="2" t="inlineStr">
        <is>
          <t>DELL</t>
        </is>
      </c>
      <c r="C3413" s="2" t="inlineStr">
        <is>
          <t>7020S-5671</t>
        </is>
      </c>
      <c r="D3413" s="2" t="inlineStr">
        <is>
          <t>ПК Dell Optiplex 7020 SFF i5 14500 (2.6) 16Gb 1Tb 7.2k SSD256Gb UHDG 770 Windows 11 Pro GbitEth 180W мышь клавиатура черный (7020S-5671)</t>
        </is>
      </c>
      <c r="E3413" s="2" t="inlineStr">
        <is>
          <t>+ </t>
        </is>
      </c>
      <c r="F3413" s="2" t="inlineStr">
        <is>
          <t>+ </t>
        </is>
      </c>
      <c r="H3413" s="2">
        <v>1160</v>
      </c>
      <c r="I3413" s="2" t="inlineStr">
        <is>
          <t>$</t>
        </is>
      </c>
      <c r="J3413" s="2">
        <f>HYPERLINK("https://app.astro.lead-studio.pro/product/6fc125b3-e8ba-4f9a-b8ff-719f78c90dee")</f>
      </c>
    </row>
    <row r="3414" spans="1:10" customHeight="0">
      <c r="A3414" s="2" t="inlineStr">
        <is>
          <t>Компьютеры</t>
        </is>
      </c>
      <c r="B3414" s="2" t="inlineStr">
        <is>
          <t>DELL</t>
        </is>
      </c>
      <c r="C3414" s="2" t="inlineStr">
        <is>
          <t>7020S-5860</t>
        </is>
      </c>
      <c r="D3414" s="2" t="inlineStr">
        <is>
          <t>ПК Dell Optiplex 7020 SFF i5 14500 (2.6) 8Gb SSD256Gb UHDG 770 Linux Ubuntu GbitEth 180W мышь клавиатура черный (7020S-5860)</t>
        </is>
      </c>
      <c r="E3414" s="2" t="inlineStr">
        <is>
          <t>+ </t>
        </is>
      </c>
      <c r="F3414" s="2" t="inlineStr">
        <is>
          <t>+ </t>
        </is>
      </c>
      <c r="H3414" s="2">
        <v>786</v>
      </c>
      <c r="I3414" s="2" t="inlineStr">
        <is>
          <t>$</t>
        </is>
      </c>
      <c r="J3414" s="2">
        <f>HYPERLINK("https://app.astro.lead-studio.pro/product/2c601b07-d55a-41d6-8e54-24e180a493c6")</f>
      </c>
    </row>
    <row r="3415" spans="1:10" customHeight="0">
      <c r="A3415" s="2" t="inlineStr">
        <is>
          <t>Компьютеры</t>
        </is>
      </c>
      <c r="B3415" s="2" t="inlineStr">
        <is>
          <t>DELL</t>
        </is>
      </c>
      <c r="C3415" s="2" t="inlineStr">
        <is>
          <t>7020S-5861</t>
        </is>
      </c>
      <c r="D3415" s="2" t="inlineStr">
        <is>
          <t>ПК Dell Optiplex 7020 SFF i5 14500 (2.6) 8Gb SSD256Gb UHDG 770 Windows 11 Pro GbitEth 180W мышь клавиатура черный (7020S-5861)</t>
        </is>
      </c>
      <c r="E3415" s="2" t="inlineStr">
        <is>
          <t>+ </t>
        </is>
      </c>
      <c r="F3415" s="2" t="inlineStr">
        <is>
          <t>+ </t>
        </is>
      </c>
      <c r="H3415" s="2">
        <v>1005</v>
      </c>
      <c r="I3415" s="2" t="inlineStr">
        <is>
          <t>$</t>
        </is>
      </c>
      <c r="J3415" s="2">
        <f>HYPERLINK("https://app.astro.lead-studio.pro/product/8707e133-347e-46ca-b607-4047168b7d59")</f>
      </c>
    </row>
    <row r="3416" spans="1:10" customHeight="0">
      <c r="A3416" s="2" t="inlineStr">
        <is>
          <t>Компьютеры</t>
        </is>
      </c>
      <c r="B3416" s="2" t="inlineStr">
        <is>
          <t>DELL</t>
        </is>
      </c>
      <c r="C3416" s="2" t="inlineStr">
        <is>
          <t>3260-5640</t>
        </is>
      </c>
      <c r="D3416" s="2" t="inlineStr">
        <is>
          <t>ПК Dell Precision 3260 Compact i5 13500 (2.5) 16Gb SSD1Tb T1000 4Gb CR Linux Ubuntu GbitEth 240W мышь клавиатура черный (3260-5640)</t>
        </is>
      </c>
      <c r="E3416" s="2" t="inlineStr">
        <is>
          <t>+ </t>
        </is>
      </c>
      <c r="F3416" s="2" t="inlineStr">
        <is>
          <t>+ </t>
        </is>
      </c>
      <c r="H3416" s="2">
        <v>1704</v>
      </c>
      <c r="I3416" s="2" t="inlineStr">
        <is>
          <t>$</t>
        </is>
      </c>
      <c r="J3416" s="2">
        <f>HYPERLINK("https://app.astro.lead-studio.pro/product/733fea32-89ba-4453-974c-3e138ae5c09c")</f>
      </c>
    </row>
    <row r="3417" spans="1:10" customHeight="0">
      <c r="A3417" s="2" t="inlineStr">
        <is>
          <t>Компьютеры</t>
        </is>
      </c>
      <c r="B3417" s="2" t="inlineStr">
        <is>
          <t>DELL</t>
        </is>
      </c>
      <c r="C3417" s="2" t="inlineStr">
        <is>
          <t>3260-5620</t>
        </is>
      </c>
      <c r="D3417" s="2" t="inlineStr">
        <is>
          <t>ПК Dell Precision 3260 Compact i5 13500 (2.5) 16Gb SSD512Gb T400 4Gb CR Linux Ubuntu GbitEth 240W мышь клавиатура черный (3260-5620)</t>
        </is>
      </c>
      <c r="E3417" s="2" t="inlineStr">
        <is>
          <t>+ </t>
        </is>
      </c>
      <c r="F3417" s="2" t="inlineStr">
        <is>
          <t>+ </t>
        </is>
      </c>
      <c r="H3417" s="2">
        <v>1365</v>
      </c>
      <c r="I3417" s="2" t="inlineStr">
        <is>
          <t>$</t>
        </is>
      </c>
      <c r="J3417" s="2">
        <f>HYPERLINK("https://app.astro.lead-studio.pro/product/f820d289-b9ad-4247-8a67-8856e7d118ed")</f>
      </c>
    </row>
    <row r="3418" spans="1:10" customHeight="0">
      <c r="A3418" s="2" t="inlineStr">
        <is>
          <t>Компьютеры</t>
        </is>
      </c>
      <c r="B3418" s="2" t="inlineStr">
        <is>
          <t>DELL</t>
        </is>
      </c>
      <c r="C3418" s="2" t="inlineStr">
        <is>
          <t>3260-7641</t>
        </is>
      </c>
      <c r="D3418" s="2" t="inlineStr">
        <is>
          <t>ПК Dell Precision 3260 Compact i7 13700 (2.1) 16Gb SSD1Tb T1000 8Gb CR Windows 11 Pro 64 GbitEth 240W мышь клавиатура черный (3260-7641)</t>
        </is>
      </c>
      <c r="E3418" s="2" t="inlineStr">
        <is>
          <t>+ </t>
        </is>
      </c>
      <c r="F3418" s="2" t="inlineStr">
        <is>
          <t>+ </t>
        </is>
      </c>
      <c r="H3418" s="2">
        <v>2351</v>
      </c>
      <c r="I3418" s="2" t="inlineStr">
        <is>
          <t>$</t>
        </is>
      </c>
      <c r="J3418" s="2">
        <f>HYPERLINK("https://app.astro.lead-studio.pro/product/2886c84c-5d5a-4b69-8ed3-52f122fbc8d2")</f>
      </c>
    </row>
    <row r="3419" spans="1:10" customHeight="0">
      <c r="A3419" s="2" t="inlineStr">
        <is>
          <t>Компьютеры</t>
        </is>
      </c>
      <c r="B3419" s="2" t="inlineStr">
        <is>
          <t>DELL</t>
        </is>
      </c>
      <c r="C3419" s="2" t="inlineStr">
        <is>
          <t>3260-7241</t>
        </is>
      </c>
      <c r="D3419" s="2" t="inlineStr">
        <is>
          <t>ПК Dell Precision 3260 Compact i7 13700 (2.1) 32Gb SSD1Tb RTX3000 6Gb CR Windows 11 Pro 64 GbitEth 240W мышь клавиатура черный (3260-7241)</t>
        </is>
      </c>
      <c r="E3419" s="2" t="inlineStr">
        <is>
          <t>+ </t>
        </is>
      </c>
      <c r="F3419" s="2" t="inlineStr">
        <is>
          <t>+ </t>
        </is>
      </c>
      <c r="H3419" s="2">
        <v>3030</v>
      </c>
      <c r="I3419" s="2" t="inlineStr">
        <is>
          <t>$</t>
        </is>
      </c>
      <c r="J3419" s="2">
        <f>HYPERLINK("https://app.astro.lead-studio.pro/product/34a9a26b-2d82-416b-838c-573971fa4eb9")</f>
      </c>
    </row>
    <row r="3420" spans="1:10" customHeight="0">
      <c r="A3420" s="2" t="inlineStr">
        <is>
          <t>Компьютеры</t>
        </is>
      </c>
      <c r="B3420" s="2" t="inlineStr">
        <is>
          <t>DELL</t>
        </is>
      </c>
      <c r="C3420" s="2" t="inlineStr">
        <is>
          <t>3460-5620</t>
        </is>
      </c>
      <c r="D3420" s="2" t="inlineStr">
        <is>
          <t>ПК Dell Precision 3460 SFF i5 13500 (2.5) 16Gb SSD512Gb T400 4Gb Linux Ubuntu GbitEth 260W мышь клавиатура черный (3460-5620)</t>
        </is>
      </c>
      <c r="E3420" s="2" t="inlineStr">
        <is>
          <t>+ </t>
        </is>
      </c>
      <c r="F3420" s="2" t="inlineStr">
        <is>
          <t>+ </t>
        </is>
      </c>
      <c r="H3420" s="2">
        <v>1330</v>
      </c>
      <c r="I3420" s="2" t="inlineStr">
        <is>
          <t>$</t>
        </is>
      </c>
      <c r="J3420" s="2">
        <f>HYPERLINK("https://app.astro.lead-studio.pro/product/2fe669cf-2ac6-479b-ab3b-4a4fc724a002")</f>
      </c>
    </row>
    <row r="3421" spans="1:10" customHeight="0">
      <c r="A3421" s="2" t="inlineStr">
        <is>
          <t>Компьютеры</t>
        </is>
      </c>
      <c r="B3421" s="2" t="inlineStr">
        <is>
          <t>DELL</t>
        </is>
      </c>
      <c r="C3421" s="2" t="inlineStr">
        <is>
          <t>3460-7630</t>
        </is>
      </c>
      <c r="D3421" s="2" t="inlineStr">
        <is>
          <t>ПК Dell Precision 3460 SFF i7 13700 (2.1) 16Gb 1Tb 7.2k SSD512Gb T1000 8Gb Linux Ubuntu GbitEth 260W мышь клавиатура черный (3460-7630)</t>
        </is>
      </c>
      <c r="E3421" s="2" t="inlineStr">
        <is>
          <t>+ </t>
        </is>
      </c>
      <c r="F3421" s="2" t="inlineStr">
        <is>
          <t>+ </t>
        </is>
      </c>
      <c r="H3421" s="2">
        <v>2032</v>
      </c>
      <c r="I3421" s="2" t="inlineStr">
        <is>
          <t>$</t>
        </is>
      </c>
      <c r="J3421" s="2">
        <f>HYPERLINK("https://app.astro.lead-studio.pro/product/3ecee527-5c5f-44d3-bbec-46c95b90cbf7")</f>
      </c>
    </row>
    <row r="3422" spans="1:10" customHeight="0">
      <c r="A3422" s="2" t="inlineStr">
        <is>
          <t>Компьютеры</t>
        </is>
      </c>
      <c r="B3422" s="2" t="inlineStr">
        <is>
          <t>DELL</t>
        </is>
      </c>
      <c r="C3422" s="2" t="inlineStr">
        <is>
          <t>3460-7230</t>
        </is>
      </c>
      <c r="D3422" s="2" t="inlineStr">
        <is>
          <t>ПК Dell Precision 3460 SFF i7 14700 (2.1) 32Gb 1Tb 7.2k SSD512Gb RTX A2000 12Gb Windows 11 Pro GbitEth 300W мышь клавиатура черный (3460-7230)</t>
        </is>
      </c>
      <c r="E3422" s="2" t="inlineStr">
        <is>
          <t>+ </t>
        </is>
      </c>
      <c r="F3422" s="2" t="inlineStr">
        <is>
          <t>+ </t>
        </is>
      </c>
      <c r="H3422" s="2">
        <v>2761</v>
      </c>
      <c r="I3422" s="2" t="inlineStr">
        <is>
          <t>$</t>
        </is>
      </c>
      <c r="J3422" s="2">
        <f>HYPERLINK("https://app.astro.lead-studio.pro/product/1845c192-c335-41ea-9aa8-7c3a4077de05")</f>
      </c>
    </row>
    <row r="3423" spans="1:10" customHeight="0">
      <c r="A3423" s="2" t="inlineStr">
        <is>
          <t>Компьютеры</t>
        </is>
      </c>
      <c r="B3423" s="2" t="inlineStr">
        <is>
          <t>DELL</t>
        </is>
      </c>
      <c r="C3423" s="2" t="inlineStr">
        <is>
          <t>3660-7351</t>
        </is>
      </c>
      <c r="D3423" s="2" t="inlineStr">
        <is>
          <t>ПК Dell Precision 3660 MT i7 13700 (2.1) 32Gb SSD512Gb UHDG 770/DVDRW CR Windows 11 Pro GbitEth 300W мышь клавиатура черный (3660-7351)</t>
        </is>
      </c>
      <c r="E3423" s="2" t="inlineStr">
        <is>
          <t>+ </t>
        </is>
      </c>
      <c r="F3423" s="2" t="inlineStr">
        <is>
          <t>+ </t>
        </is>
      </c>
      <c r="H3423" s="2">
        <v>2083</v>
      </c>
      <c r="I3423" s="2" t="inlineStr">
        <is>
          <t>$</t>
        </is>
      </c>
      <c r="J3423" s="2">
        <f>HYPERLINK("https://app.astro.lead-studio.pro/product/90edefd2-99c4-4594-b128-c3b4219b80a1")</f>
      </c>
    </row>
    <row r="3424" spans="1:10" customHeight="0">
      <c r="A3424" s="2" t="inlineStr">
        <is>
          <t>Компьютеры</t>
        </is>
      </c>
      <c r="B3424" s="2" t="inlineStr">
        <is>
          <t>DIGMA PRO</t>
        </is>
      </c>
      <c r="C3424" s="2" t="inlineStr">
        <is>
          <t>DPP3-8DXW01</t>
        </is>
      </c>
      <c r="D3424" s="2" t="inlineStr">
        <is>
          <t>Неттоп Digma Pro Minimax U1 i3 1215U (1.2) 8Gb SSD512Gb UHDG Windows 11 Pro GbitEth WiFi BT 60W темно-серый/черный (DPP3-8DXW01)</t>
        </is>
      </c>
      <c r="E3424" s="2" t="inlineStr">
        <is>
          <t>+ </t>
        </is>
      </c>
      <c r="F3424" s="2" t="inlineStr">
        <is>
          <t>+ </t>
        </is>
      </c>
      <c r="H3424" s="2">
        <v>348</v>
      </c>
      <c r="I3424" s="2" t="inlineStr">
        <is>
          <t>$</t>
        </is>
      </c>
      <c r="J3424" s="2">
        <f>HYPERLINK("https://app.astro.lead-studio.pro/product/23c9a403-cd0f-4bed-93c7-c0330fddd4e0")</f>
      </c>
    </row>
    <row r="3425" spans="1:10" customHeight="0">
      <c r="A3425" s="2" t="inlineStr">
        <is>
          <t>Компьютеры</t>
        </is>
      </c>
      <c r="B3425" s="2" t="inlineStr">
        <is>
          <t>DIGMA PRO</t>
        </is>
      </c>
      <c r="C3425" s="2" t="inlineStr">
        <is>
          <t>DPP3-ADXW01</t>
        </is>
      </c>
      <c r="D3425" s="2" t="inlineStr">
        <is>
          <t>Неттоп Digma Pro Minimax U1 i3 1220P (1.5) 16Gb SSD512Gb UHDG Windows 11 Pro GbitEth WiFi BT 60W темно-серый/черный (DPP3-ADXW01)</t>
        </is>
      </c>
      <c r="E3425" s="2" t="inlineStr">
        <is>
          <t>+ </t>
        </is>
      </c>
      <c r="F3425" s="2" t="inlineStr">
        <is>
          <t>+ </t>
        </is>
      </c>
      <c r="H3425" s="2">
        <v>396</v>
      </c>
      <c r="I3425" s="2" t="inlineStr">
        <is>
          <t>$</t>
        </is>
      </c>
      <c r="J3425" s="2">
        <f>HYPERLINK("https://app.astro.lead-studio.pro/product/f6261f72-9f13-470f-b099-4a83a57a6a0c")</f>
      </c>
    </row>
    <row r="3426" spans="1:10" customHeight="0">
      <c r="A3426" s="2" t="inlineStr">
        <is>
          <t>Компьютеры</t>
        </is>
      </c>
      <c r="B3426" s="2" t="inlineStr">
        <is>
          <t>DIGMA PRO</t>
        </is>
      </c>
      <c r="C3426" s="2" t="inlineStr">
        <is>
          <t>DPP3-ADXW02</t>
        </is>
      </c>
      <c r="D3426" s="2" t="inlineStr">
        <is>
          <t>Неттоп Digma Pro Minimax U1 i3 1315U (1.2) 16Gb SSD512Gb UHDG Windows 11 Pro GbitEth WiFi BT 60W темно-серый/черный (DPP3-ADXW02)</t>
        </is>
      </c>
      <c r="E3426" s="2" t="inlineStr">
        <is>
          <t>+ </t>
        </is>
      </c>
      <c r="F3426" s="2" t="inlineStr">
        <is>
          <t>+ </t>
        </is>
      </c>
      <c r="H3426" s="2">
        <v>411</v>
      </c>
      <c r="I3426" s="2" t="inlineStr">
        <is>
          <t>$</t>
        </is>
      </c>
      <c r="J3426" s="2">
        <f>HYPERLINK("https://app.astro.lead-studio.pro/product/fbb38029-6017-489d-942c-3d32ccc7ba21")</f>
      </c>
    </row>
    <row r="3427" spans="1:10" customHeight="0">
      <c r="A3427" s="2" t="inlineStr">
        <is>
          <t>Компьютеры</t>
        </is>
      </c>
      <c r="B3427" s="2" t="inlineStr">
        <is>
          <t>DIGMA PRO</t>
        </is>
      </c>
      <c r="C3427" s="2" t="inlineStr">
        <is>
          <t>DPP5-8CXW02</t>
        </is>
      </c>
      <c r="D3427" s="2" t="inlineStr">
        <is>
          <t>Неттоп Digma Pro Minimax U1 i5 1235U (1.3) 8Gb SSD256Gb UHDG Windows 11 Pro GbitEth WiFi BT 60W темно-серый/черный (DPP5-8CXW02)</t>
        </is>
      </c>
      <c r="E3427" s="2" t="inlineStr">
        <is>
          <t>+ </t>
        </is>
      </c>
      <c r="F3427" s="2" t="inlineStr">
        <is>
          <t>+ </t>
        </is>
      </c>
      <c r="H3427" s="2">
        <v>393</v>
      </c>
      <c r="I3427" s="2" t="inlineStr">
        <is>
          <t>$</t>
        </is>
      </c>
      <c r="J3427" s="2">
        <f>HYPERLINK("https://app.astro.lead-studio.pro/product/7d86c234-6242-43c7-b0b7-a7186a2d4c0d")</f>
      </c>
    </row>
    <row r="3428" spans="1:10" customHeight="0">
      <c r="A3428" s="2" t="inlineStr">
        <is>
          <t>Компьютеры</t>
        </is>
      </c>
      <c r="B3428" s="2" t="inlineStr">
        <is>
          <t>DIGMA PRO</t>
        </is>
      </c>
      <c r="C3428" s="2" t="inlineStr">
        <is>
          <t>DPP5-8DXW01</t>
        </is>
      </c>
      <c r="D3428" s="2" t="inlineStr">
        <is>
          <t>Неттоп Digma Pro Minimax U1 i5 1235U (1.3) 8Gb SSD512Gb UHDG Windows 11 Pro GbitEth WiFi BT 60W темно-серый/черный (DPP5-8DXW01)</t>
        </is>
      </c>
      <c r="E3428" s="2" t="inlineStr">
        <is>
          <t>+ </t>
        </is>
      </c>
      <c r="F3428" s="2" t="inlineStr">
        <is>
          <t>+ </t>
        </is>
      </c>
      <c r="H3428" s="2">
        <v>409</v>
      </c>
      <c r="I3428" s="2" t="inlineStr">
        <is>
          <t>$</t>
        </is>
      </c>
      <c r="J3428" s="2">
        <f>HYPERLINK("https://app.astro.lead-studio.pro/product/5d1b9c3a-9814-46b8-8064-7d6ac38c3bdf")</f>
      </c>
    </row>
    <row r="3429" spans="1:10" customHeight="0">
      <c r="A3429" s="2" t="inlineStr">
        <is>
          <t>Компьютеры</t>
        </is>
      </c>
      <c r="B3429" s="2" t="inlineStr">
        <is>
          <t>DIGMA PRO</t>
        </is>
      </c>
      <c r="C3429" s="2" t="inlineStr">
        <is>
          <t>DPP5-8DXW02</t>
        </is>
      </c>
      <c r="D3429" s="2" t="inlineStr">
        <is>
          <t>Неттоп Digma Pro Minimax X1 i5 12450H (2) 8Gb SSD512Gb UHDG Windows 11 Pro GbitEth WiFi BT 1000W серый (DPP5-8DXW02)</t>
        </is>
      </c>
      <c r="E3429" s="2" t="inlineStr">
        <is>
          <t>+ </t>
        </is>
      </c>
      <c r="F3429" s="2" t="inlineStr">
        <is>
          <t>+ </t>
        </is>
      </c>
      <c r="H3429" s="2">
        <v>431</v>
      </c>
      <c r="I3429" s="2" t="inlineStr">
        <is>
          <t>$</t>
        </is>
      </c>
      <c r="J3429" s="2">
        <f>HYPERLINK("https://app.astro.lead-studio.pro/product/fa88b055-5e1d-4b9a-8086-d27cb08bebb4")</f>
      </c>
    </row>
    <row r="3430" spans="1:10" customHeight="0">
      <c r="A3430" s="2" t="inlineStr">
        <is>
          <t>Компьютеры</t>
        </is>
      </c>
      <c r="B3430" s="2" t="inlineStr">
        <is>
          <t>HP</t>
        </is>
      </c>
      <c r="C3430" s="2" t="inlineStr">
        <is>
          <t>9M937AT</t>
        </is>
      </c>
      <c r="D3430" s="2" t="inlineStr">
        <is>
          <t>Комплект HP 290 G9 MT i3 12100 (3.3) 8Gb SSD512Gb UHDG 730 Free DOS GbitEth 180W kb клавиатура черный монитор в комплекте P22v (9M937AT)</t>
        </is>
      </c>
      <c r="E3430" s="2" t="inlineStr">
        <is>
          <t>+++ </t>
        </is>
      </c>
      <c r="F3430" s="2" t="inlineStr">
        <is>
          <t>+++ </t>
        </is>
      </c>
      <c r="H3430" s="2">
        <v>624</v>
      </c>
      <c r="I3430" s="2" t="inlineStr">
        <is>
          <t>$</t>
        </is>
      </c>
      <c r="J3430" s="2">
        <f>HYPERLINK("https://app.astro.lead-studio.pro/product/87849a9f-5b7f-4e9d-83ae-850f8136ab45")</f>
      </c>
    </row>
    <row r="3431" spans="1:10" customHeight="0">
      <c r="A3431" s="2" t="inlineStr">
        <is>
          <t>Компьютеры</t>
        </is>
      </c>
      <c r="B3431" s="2" t="inlineStr">
        <is>
          <t>HP</t>
        </is>
      </c>
      <c r="C3431" s="2" t="inlineStr">
        <is>
          <t>9M936AT</t>
        </is>
      </c>
      <c r="D3431" s="2" t="inlineStr">
        <is>
          <t>Комплект HP 290 G9 MT i3 12100 (3.3) 8Gb SSD512Gb UHDG 730 FreeDOS GbitEth 180W kb мышь клавиатура черный монитор в комплекте P204 (9M936AT)</t>
        </is>
      </c>
      <c r="E3431" s="2" t="inlineStr">
        <is>
          <t>+++ </t>
        </is>
      </c>
      <c r="F3431" s="2" t="inlineStr">
        <is>
          <t>+++ </t>
        </is>
      </c>
      <c r="H3431" s="2">
        <v>656</v>
      </c>
      <c r="I3431" s="2" t="inlineStr">
        <is>
          <t>$</t>
        </is>
      </c>
      <c r="J3431" s="2">
        <f>HYPERLINK("https://app.astro.lead-studio.pro/product/aeb35b91-05c9-4e20-bc93-589cb5004e67")</f>
      </c>
    </row>
    <row r="3432" spans="1:10" customHeight="0">
      <c r="A3432" s="2" t="inlineStr">
        <is>
          <t>Компьютеры</t>
        </is>
      </c>
      <c r="B3432" s="2" t="inlineStr">
        <is>
          <t>HP</t>
        </is>
      </c>
      <c r="C3432" s="2" t="inlineStr">
        <is>
          <t>6D474EA</t>
        </is>
      </c>
      <c r="D3432" s="2" t="inlineStr">
        <is>
          <t>Комплект HP 290 G9 MT i5 12500 (3) 8Gb SSD512Gb UHDG 770/DVDRW FreeDOS GbitEth 180W kb мышь клавиатура черный монитор в комплекте P22 (6D474EA)</t>
        </is>
      </c>
      <c r="E3432" s="2" t="inlineStr">
        <is>
          <t>+ </t>
        </is>
      </c>
      <c r="F3432" s="2" t="inlineStr">
        <is>
          <t>+ </t>
        </is>
      </c>
      <c r="H3432" s="2">
        <v>702</v>
      </c>
      <c r="I3432" s="2" t="inlineStr">
        <is>
          <t>$</t>
        </is>
      </c>
      <c r="J3432" s="2">
        <f>HYPERLINK("https://app.astro.lead-studio.pro/product/a215e7e9-1ee6-4a4a-95ea-3669737a4149")</f>
      </c>
    </row>
    <row r="3433" spans="1:10" customHeight="0">
      <c r="A3433" s="2" t="inlineStr">
        <is>
          <t>Компьютеры</t>
        </is>
      </c>
      <c r="B3433" s="2" t="inlineStr">
        <is>
          <t>HP</t>
        </is>
      </c>
      <c r="C3433" s="2" t="inlineStr">
        <is>
          <t>49W0ES</t>
        </is>
      </c>
      <c r="D3433" s="2" t="inlineStr">
        <is>
          <t>Неттоп HP Elite 800 G9 Mini i7 14700T (1.3) 16Gb SSD512Gb UHDG 770 Windows 11 Professional 64 GbitEth WiFi BT 90W kb мышь клавиатура черный (49W0ES)</t>
        </is>
      </c>
      <c r="E3433" s="2" t="inlineStr">
        <is>
          <t>+ </t>
        </is>
      </c>
      <c r="F3433" s="2" t="inlineStr">
        <is>
          <t>+ </t>
        </is>
      </c>
      <c r="H3433" s="2">
        <v>1452</v>
      </c>
      <c r="I3433" s="2" t="inlineStr">
        <is>
          <t>$</t>
        </is>
      </c>
      <c r="J3433" s="2">
        <f>HYPERLINK("https://app.astro.lead-studio.pro/product/d13defc6-8fb7-4ba6-9f97-9c58439a82e1")</f>
      </c>
    </row>
    <row r="3434" spans="1:10" customHeight="0">
      <c r="A3434" s="2" t="inlineStr">
        <is>
          <t>Компьютеры</t>
        </is>
      </c>
      <c r="B3434" s="2" t="inlineStr">
        <is>
          <t>HP</t>
        </is>
      </c>
      <c r="C3434" s="2" t="inlineStr">
        <is>
          <t>937P7EA</t>
        </is>
      </c>
      <c r="D3434" s="2" t="inlineStr">
        <is>
          <t>Неттоп HP ProDesk 400 G9 Mini i3 13100T (2.5) 8Gb SSD256Gb UHDG 730 Windows 11 Pro 64 GbitEth WiFi BT 90W kb мышь клавиатура черный (937P7EA)</t>
        </is>
      </c>
      <c r="E3434" s="2" t="inlineStr">
        <is>
          <t>+ </t>
        </is>
      </c>
      <c r="F3434" s="2" t="inlineStr">
        <is>
          <t>+ </t>
        </is>
      </c>
      <c r="H3434" s="2">
        <v>787</v>
      </c>
      <c r="I3434" s="2" t="inlineStr">
        <is>
          <t>$</t>
        </is>
      </c>
      <c r="J3434" s="2">
        <f>HYPERLINK("https://app.astro.lead-studio.pro/product/26e69b1f-286a-4073-9f7c-c0fc8f6f3d95")</f>
      </c>
    </row>
    <row r="3435" spans="1:10" customHeight="0">
      <c r="A3435" s="2" t="inlineStr">
        <is>
          <t>Компьютеры</t>
        </is>
      </c>
      <c r="B3435" s="2" t="inlineStr">
        <is>
          <t>HP</t>
        </is>
      </c>
      <c r="C3435" s="2" t="inlineStr">
        <is>
          <t>883S9EA</t>
        </is>
      </c>
      <c r="D3435" s="2" t="inlineStr">
        <is>
          <t>Неттоп HP ProDesk 400 G9 Mini i5 13500T (1.6) 8Gb SSD512Gb UHDG 770 Windows 11 Pro 64 GbitEth WiFi BT 90W мышь клавиатура черный (883S9EA)</t>
        </is>
      </c>
      <c r="E3435" s="2" t="inlineStr">
        <is>
          <t>+ </t>
        </is>
      </c>
      <c r="F3435" s="2" t="inlineStr">
        <is>
          <t>+ </t>
        </is>
      </c>
      <c r="H3435" s="2">
        <v>895</v>
      </c>
      <c r="I3435" s="2" t="inlineStr">
        <is>
          <t>$</t>
        </is>
      </c>
      <c r="J3435" s="2">
        <f>HYPERLINK("https://app.astro.lead-studio.pro/product/129f4c3d-de06-4de6-a84c-ea0bea58a178")</f>
      </c>
    </row>
    <row r="3436" spans="1:10" customHeight="0">
      <c r="A3436" s="2" t="inlineStr">
        <is>
          <t>Компьютеры</t>
        </is>
      </c>
      <c r="B3436" s="2" t="inlineStr">
        <is>
          <t>HP</t>
        </is>
      </c>
      <c r="C3436" s="2" t="inlineStr">
        <is>
          <t>6B1Y7EA</t>
        </is>
      </c>
      <c r="D3436" s="2" t="inlineStr">
        <is>
          <t>Неттоп HP ProDesk 400 G9 Mini i7 12700T (1.4) 8Gb SSD256Gb UHDG 770 Windows 11 Pro 64 GbitEth WiFi BT 90W мышь клавиатура черный (6B1Y7EA)</t>
        </is>
      </c>
      <c r="E3436" s="2" t="inlineStr">
        <is>
          <t>++ </t>
        </is>
      </c>
      <c r="F3436" s="2" t="inlineStr">
        <is>
          <t>++ </t>
        </is>
      </c>
      <c r="H3436" s="2">
        <v>944</v>
      </c>
      <c r="I3436" s="2" t="inlineStr">
        <is>
          <t>$</t>
        </is>
      </c>
      <c r="J3436" s="2">
        <f>HYPERLINK("https://app.astro.lead-studio.pro/product/faf03e3d-182e-4110-be6f-2264e9a8d1ef")</f>
      </c>
    </row>
    <row r="3437" spans="1:10" customHeight="0">
      <c r="A3437" s="2" t="inlineStr">
        <is>
          <t>Компьютеры</t>
        </is>
      </c>
      <c r="B3437" s="2" t="inlineStr">
        <is>
          <t>HP</t>
        </is>
      </c>
      <c r="C3437" s="2" t="inlineStr">
        <is>
          <t>4Y5Y9AV</t>
        </is>
      </c>
      <c r="D3437" s="2" t="inlineStr">
        <is>
          <t>Неттоп HP Z2 G9 Mini i7 13700 (2.1) 16Gb SSD512Gb T400 4Gb Windows 11 Professional 64 GbitEth 280W kb клавиатура черный (4Y5Y9AV)</t>
        </is>
      </c>
      <c r="E3437" s="2" t="inlineStr">
        <is>
          <t>++ </t>
        </is>
      </c>
      <c r="F3437" s="2" t="inlineStr">
        <is>
          <t>++ </t>
        </is>
      </c>
      <c r="H3437" s="2">
        <v>2085</v>
      </c>
      <c r="I3437" s="2" t="inlineStr">
        <is>
          <t>$</t>
        </is>
      </c>
      <c r="J3437" s="2">
        <f>HYPERLINK("https://app.astro.lead-studio.pro/product/7e0d6d63-6c60-4ec0-b1f0-37cf5a524230")</f>
      </c>
    </row>
    <row r="3438" spans="1:10" customHeight="0">
      <c r="A3438" s="2" t="inlineStr">
        <is>
          <t>Компьютеры</t>
        </is>
      </c>
      <c r="B3438" s="2" t="inlineStr">
        <is>
          <t>HP</t>
        </is>
      </c>
      <c r="C3438" s="2" t="inlineStr">
        <is>
          <t>6U478EA</t>
        </is>
      </c>
      <c r="D3438" s="2" t="inlineStr">
        <is>
          <t>ПК HP 400 G9 SFF i5 13500 (2.5) 16Gb SSD512Gb UHDG 770 Windows 11 Pro 64 GbitEth WiFi BT 240W kb мышь клавиатура черный (6U478EA)</t>
        </is>
      </c>
      <c r="E3438" s="2" t="inlineStr">
        <is>
          <t>+ </t>
        </is>
      </c>
      <c r="F3438" s="2" t="inlineStr">
        <is>
          <t>+ </t>
        </is>
      </c>
      <c r="H3438" s="2">
        <v>1025</v>
      </c>
      <c r="I3438" s="2" t="inlineStr">
        <is>
          <t>$</t>
        </is>
      </c>
      <c r="J3438" s="2">
        <f>HYPERLINK("https://app.astro.lead-studio.pro/product/12840b98-5088-410c-9afa-309796fec20b")</f>
      </c>
    </row>
    <row r="3439" spans="1:10" customHeight="0">
      <c r="A3439" s="2" t="inlineStr">
        <is>
          <t>Компьютеры</t>
        </is>
      </c>
      <c r="B3439" s="2" t="inlineStr">
        <is>
          <t>HP</t>
        </is>
      </c>
      <c r="C3439" s="2" t="inlineStr">
        <is>
          <t>8N8U9AA</t>
        </is>
      </c>
      <c r="D3439" s="2" t="inlineStr">
        <is>
          <t>ПК HP 400 G9 SFF i7 12700 (2.1) 8Gb SSD256Gb UHDG 770 Windows 11 Pro 64 GbitEth 180W kb мышь клавиатура черный (8N8U9AA)</t>
        </is>
      </c>
      <c r="E3439" s="2" t="inlineStr">
        <is>
          <t>+ </t>
        </is>
      </c>
      <c r="F3439" s="2" t="inlineStr">
        <is>
          <t>+ </t>
        </is>
      </c>
      <c r="H3439" s="2">
        <v>920</v>
      </c>
      <c r="I3439" s="2" t="inlineStr">
        <is>
          <t>$</t>
        </is>
      </c>
      <c r="J3439" s="2">
        <f>HYPERLINK("https://app.astro.lead-studio.pro/product/5a194ba4-42d1-412b-a283-cd34ebe585ac")</f>
      </c>
    </row>
    <row r="3440" spans="1:10" customHeight="0">
      <c r="A3440" s="2" t="inlineStr">
        <is>
          <t>Компьютеры</t>
        </is>
      </c>
      <c r="B3440" s="2" t="inlineStr">
        <is>
          <t>HP</t>
        </is>
      </c>
      <c r="C3440" s="2" t="inlineStr">
        <is>
          <t>6U4V2EA</t>
        </is>
      </c>
      <c r="D3440" s="2" t="inlineStr">
        <is>
          <t>ПК HP 400 G9 SFF i7 13700 (2.1) 8Gb SSD512Gb UHDG 770 FreeDOS GbitEth 240W kb мышь клавиатура черный (6U4V2EA)</t>
        </is>
      </c>
      <c r="E3440" s="2" t="inlineStr">
        <is>
          <t>+ </t>
        </is>
      </c>
      <c r="F3440" s="2" t="inlineStr">
        <is>
          <t>+ </t>
        </is>
      </c>
      <c r="H3440" s="2">
        <v>882</v>
      </c>
      <c r="I3440" s="2" t="inlineStr">
        <is>
          <t>$</t>
        </is>
      </c>
      <c r="J3440" s="2">
        <f>HYPERLINK("https://app.astro.lead-studio.pro/product/04e33ec7-15c8-4f37-a6f4-9cd0fdcb4b30")</f>
      </c>
    </row>
    <row r="3441" spans="1:10" customHeight="0">
      <c r="A3441" s="2" t="inlineStr">
        <is>
          <t>Компьютеры</t>
        </is>
      </c>
      <c r="B3441" s="2" t="inlineStr">
        <is>
          <t>HP</t>
        </is>
      </c>
      <c r="C3441" s="2" t="inlineStr">
        <is>
          <t>4E7E0AV</t>
        </is>
      </c>
      <c r="D3441" s="2" t="inlineStr">
        <is>
          <t>ПК HP EliteDesk 800 G9 TWR i7 12700 (2.1) 8Gb SSD512Gb UHDG FreeDOS 3.0 GbitEth 260W kb мышь клавиатура черный (4E7E0AV)</t>
        </is>
      </c>
      <c r="E3441" s="2" t="inlineStr">
        <is>
          <t>+ </t>
        </is>
      </c>
      <c r="F3441" s="2" t="inlineStr">
        <is>
          <t>+ </t>
        </is>
      </c>
      <c r="H3441" s="2">
        <v>998</v>
      </c>
      <c r="I3441" s="2" t="inlineStr">
        <is>
          <t>$</t>
        </is>
      </c>
      <c r="J3441" s="2">
        <f>HYPERLINK("https://app.astro.lead-studio.pro/product/4fc32c8c-0b2e-458e-ad3c-97b89a8cf55f")</f>
      </c>
    </row>
    <row r="3442" spans="1:10" customHeight="0">
      <c r="A3442" s="2" t="inlineStr">
        <is>
          <t>Компьютеры</t>
        </is>
      </c>
      <c r="B3442" s="2" t="inlineStr">
        <is>
          <t>HP</t>
        </is>
      </c>
      <c r="C3442" s="2" t="inlineStr">
        <is>
          <t>883T8EA</t>
        </is>
      </c>
      <c r="D3442" s="2" t="inlineStr">
        <is>
          <t>ПК HP Pro 290 G9 MT i3 13100 (3.4) 8Gb SSD256Gb UHDG 730 Free DOS GbitEth WiFi BT 180W kb мышь клавиатура черный (883T8EA)</t>
        </is>
      </c>
      <c r="E3442" s="2" t="inlineStr">
        <is>
          <t>+ </t>
        </is>
      </c>
      <c r="F3442" s="2" t="inlineStr">
        <is>
          <t>+ </t>
        </is>
      </c>
      <c r="H3442" s="2">
        <v>568</v>
      </c>
      <c r="I3442" s="2" t="inlineStr">
        <is>
          <t>$</t>
        </is>
      </c>
      <c r="J3442" s="2">
        <f>HYPERLINK("https://app.astro.lead-studio.pro/product/cd435d3f-be07-4375-8960-e50126fe7cb9")</f>
      </c>
    </row>
    <row r="3443" spans="1:10" customHeight="0">
      <c r="A3443" s="2" t="inlineStr">
        <is>
          <t>Компьютеры</t>
        </is>
      </c>
      <c r="B3443" s="2" t="inlineStr">
        <is>
          <t>HP</t>
        </is>
      </c>
      <c r="C3443" s="2" t="inlineStr">
        <is>
          <t>883N3EA</t>
        </is>
      </c>
      <c r="D3443" s="2" t="inlineStr">
        <is>
          <t>ПК HP Pro 290 G9 SFF i3 13100 (3.3) 8Gb SSD256Gb UHDG 730 FreeDOS GbitEth 180W kb мышь клавиатура черный (883N3EA)</t>
        </is>
      </c>
      <c r="E3443" s="2" t="inlineStr">
        <is>
          <t>++ </t>
        </is>
      </c>
      <c r="F3443" s="2" t="inlineStr">
        <is>
          <t>++ </t>
        </is>
      </c>
      <c r="H3443" s="2">
        <v>590</v>
      </c>
      <c r="I3443" s="2" t="inlineStr">
        <is>
          <t>$</t>
        </is>
      </c>
      <c r="J3443" s="2">
        <f>HYPERLINK("https://app.astro.lead-studio.pro/product/12ffb810-7604-49b1-9d49-4ee4e932a93a")</f>
      </c>
    </row>
    <row r="3444" spans="1:10" customHeight="0">
      <c r="A3444" s="2" t="inlineStr">
        <is>
          <t>Компьютеры</t>
        </is>
      </c>
      <c r="B3444" s="2" t="inlineStr">
        <is>
          <t>HP</t>
        </is>
      </c>
      <c r="C3444" s="2" t="inlineStr">
        <is>
          <t>883U8EA</t>
        </is>
      </c>
      <c r="D3444" s="2" t="inlineStr">
        <is>
          <t>ПК HP Pro 290 G9 SFF i5 13500 (2.5) 8Gb SSD512Gb UHDG 770 Windows 11 Pro 64 GbitEth WiFi BT 180W kb мышь клавиатура черный (883U8EA)</t>
        </is>
      </c>
      <c r="E3444" s="2" t="inlineStr">
        <is>
          <t>+++ </t>
        </is>
      </c>
      <c r="F3444" s="2" t="inlineStr">
        <is>
          <t>+++ </t>
        </is>
      </c>
      <c r="H3444" s="2">
        <v>821</v>
      </c>
      <c r="I3444" s="2" t="inlineStr">
        <is>
          <t>$</t>
        </is>
      </c>
      <c r="J3444" s="2">
        <f>HYPERLINK("https://app.astro.lead-studio.pro/product/04ce5bbf-06c2-4c36-890c-dc4a2dfb5345")</f>
      </c>
    </row>
    <row r="3445" spans="1:10" customHeight="0">
      <c r="A3445" s="2" t="inlineStr">
        <is>
          <t>Компьютеры</t>
        </is>
      </c>
      <c r="B3445" s="2" t="inlineStr">
        <is>
          <t>HP</t>
        </is>
      </c>
      <c r="C3445" s="2" t="inlineStr">
        <is>
          <t>99N19ET</t>
        </is>
      </c>
      <c r="D3445" s="2" t="inlineStr">
        <is>
          <t>ПК HP Pro 400 G9 MT i3 13100 (3.4) 8Gb SSD256Gb UHDG 730 без ОС GbitEth 260W kb мышь клавиатура черный (99N19ET)</t>
        </is>
      </c>
      <c r="E3445" s="2" t="inlineStr">
        <is>
          <t>+++ </t>
        </is>
      </c>
      <c r="F3445" s="2" t="inlineStr">
        <is>
          <t>+++ </t>
        </is>
      </c>
      <c r="H3445" s="2">
        <v>606</v>
      </c>
      <c r="I3445" s="2" t="inlineStr">
        <is>
          <t>$</t>
        </is>
      </c>
      <c r="J3445" s="2">
        <f>HYPERLINK("https://app.astro.lead-studio.pro/product/4ed177f9-5919-4cd8-9729-8cd0d266d32d")</f>
      </c>
    </row>
    <row r="3446" spans="1:10" customHeight="0">
      <c r="A3446" s="2" t="inlineStr">
        <is>
          <t>Компьютеры</t>
        </is>
      </c>
      <c r="B3446" s="2" t="inlineStr">
        <is>
          <t>HP</t>
        </is>
      </c>
      <c r="C3446" s="2" t="inlineStr">
        <is>
          <t>6A738EA</t>
        </is>
      </c>
      <c r="D3446" s="2" t="inlineStr">
        <is>
          <t>ПК HP Pro 400 G9 MT i5 12500 (3) 8Gb SSD512Gb UHDG 770 Windows 11 Pro 64 GbitEth 180W мышь клавиатура черный (6A738EA)</t>
        </is>
      </c>
      <c r="E3446" s="2" t="inlineStr">
        <is>
          <t>+++ </t>
        </is>
      </c>
      <c r="F3446" s="2" t="inlineStr">
        <is>
          <t>+++ </t>
        </is>
      </c>
      <c r="H3446" s="2">
        <v>866</v>
      </c>
      <c r="I3446" s="2" t="inlineStr">
        <is>
          <t>$</t>
        </is>
      </c>
      <c r="J3446" s="2">
        <f>HYPERLINK("https://app.astro.lead-studio.pro/product/db5db650-3c16-4491-8d92-6125fbafdf4b")</f>
      </c>
    </row>
    <row r="3447" spans="1:10" customHeight="0">
      <c r="A3447" s="2" t="inlineStr">
        <is>
          <t>Компьютеры</t>
        </is>
      </c>
      <c r="B3447" s="2" t="inlineStr">
        <is>
          <t>HP</t>
        </is>
      </c>
      <c r="C3447" s="2" t="inlineStr">
        <is>
          <t>6U4N5EA</t>
        </is>
      </c>
      <c r="D3447" s="2" t="inlineStr">
        <is>
          <t>ПК HP Pro 400 G9 MT i5 13500 (2.5) 8Gb SSD512Gb UHDG 770 FreeDOS GbitEth 260W kb мышь клавиатура черный (6U4N5EA)</t>
        </is>
      </c>
      <c r="E3447" s="2" t="inlineStr">
        <is>
          <t>++ </t>
        </is>
      </c>
      <c r="F3447" s="2" t="inlineStr">
        <is>
          <t>++ </t>
        </is>
      </c>
      <c r="H3447" s="2">
        <v>850</v>
      </c>
      <c r="I3447" s="2" t="inlineStr">
        <is>
          <t>$</t>
        </is>
      </c>
      <c r="J3447" s="2">
        <f>HYPERLINK("https://app.astro.lead-studio.pro/product/1f14315c-3e0c-45dc-93a8-4f218796ea2f")</f>
      </c>
    </row>
    <row r="3448" spans="1:10" customHeight="0">
      <c r="A3448" s="2" t="inlineStr">
        <is>
          <t>Компьютеры</t>
        </is>
      </c>
      <c r="B3448" s="2" t="inlineStr">
        <is>
          <t>HP</t>
        </is>
      </c>
      <c r="C3448" s="2" t="inlineStr">
        <is>
          <t>6U4V9EA</t>
        </is>
      </c>
      <c r="D3448" s="2" t="inlineStr">
        <is>
          <t>ПК HP Pro 400 G9 MT i5 13500 (2.5) 8Gb SSD512Gb UHDG 770 Windows 11 Pro 64 GbitEth WiFi BT 260W kb мышь клавиатура черный (6U4V9EA)</t>
        </is>
      </c>
      <c r="E3448" s="2" t="inlineStr">
        <is>
          <t>+ </t>
        </is>
      </c>
      <c r="F3448" s="2" t="inlineStr">
        <is>
          <t>+ </t>
        </is>
      </c>
      <c r="H3448" s="2">
        <v>867</v>
      </c>
      <c r="I3448" s="2" t="inlineStr">
        <is>
          <t>$</t>
        </is>
      </c>
      <c r="J3448" s="2">
        <f>HYPERLINK("https://app.astro.lead-studio.pro/product/ca0126c7-df11-4217-8849-70599fecf350")</f>
      </c>
    </row>
    <row r="3449" spans="1:10" customHeight="0">
      <c r="A3449" s="2" t="inlineStr">
        <is>
          <t>Компьютеры</t>
        </is>
      </c>
      <c r="B3449" s="2" t="inlineStr">
        <is>
          <t>HP</t>
        </is>
      </c>
      <c r="C3449" s="2" t="inlineStr">
        <is>
          <t>5F8C9ES</t>
        </is>
      </c>
      <c r="D3449" s="2" t="inlineStr">
        <is>
          <t>ПК HP Z1 G9 MT i5 13500 (2.5) 16Gb SSD1Tb UHDG 770 Windows 11 Pro 64 GbitEth kb мышь клавиатура черный (5F8C9ES)</t>
        </is>
      </c>
      <c r="E3449" s="2" t="inlineStr">
        <is>
          <t>+ </t>
        </is>
      </c>
      <c r="F3449" s="2" t="inlineStr">
        <is>
          <t>+ </t>
        </is>
      </c>
      <c r="H3449" s="2">
        <v>1051</v>
      </c>
      <c r="I3449" s="2" t="inlineStr">
        <is>
          <t>$</t>
        </is>
      </c>
      <c r="J3449" s="2">
        <f>HYPERLINK("https://app.astro.lead-studio.pro/product/af0001f2-407c-40f2-9ae6-a800aadd9183")</f>
      </c>
    </row>
    <row r="3450" spans="1:10" customHeight="0">
      <c r="A3450" s="2" t="inlineStr">
        <is>
          <t>Компьютеры</t>
        </is>
      </c>
      <c r="B3450" s="2" t="inlineStr">
        <is>
          <t>HP</t>
        </is>
      </c>
      <c r="C3450" s="2" t="inlineStr">
        <is>
          <t>A2JH9ES</t>
        </is>
      </c>
      <c r="D3450" s="2" t="inlineStr">
        <is>
          <t>ПК HP Z1 G9 MT i7 14700 (2.1) 32Gb SSD1Tb UHDG 770 Windows 11 Professional 64 GbitEth WiFi BT kb мышь клавиатура черный (A2JH9ES)</t>
        </is>
      </c>
      <c r="E3450" s="2" t="inlineStr">
        <is>
          <t>+ </t>
        </is>
      </c>
      <c r="F3450" s="2" t="inlineStr">
        <is>
          <t>+ </t>
        </is>
      </c>
      <c r="H3450" s="2">
        <v>2125</v>
      </c>
      <c r="I3450" s="2" t="inlineStr">
        <is>
          <t>$</t>
        </is>
      </c>
      <c r="J3450" s="2">
        <f>HYPERLINK("https://app.astro.lead-studio.pro/product/f8880a18-f2e4-43fe-821e-88e234089352")</f>
      </c>
    </row>
    <row r="3451" spans="1:10" customHeight="0">
      <c r="A3451" s="2" t="inlineStr">
        <is>
          <t>Компьютеры</t>
        </is>
      </c>
      <c r="B3451" s="2" t="inlineStr">
        <is>
          <t>HP</t>
        </is>
      </c>
      <c r="C3451" s="2" t="inlineStr">
        <is>
          <t>996N1ET</t>
        </is>
      </c>
      <c r="D3451" s="2" t="inlineStr">
        <is>
          <t>ПК HP Z2 G9 MT Core i9 14900 (2) 32Gb SSD1Tb UHDG 770 Windows 11 Professional 64 GbitEth WiFi BT 700W kb мышь клавиатура черный (996N1ET)</t>
        </is>
      </c>
      <c r="E3451" s="2" t="inlineStr">
        <is>
          <t>+ </t>
        </is>
      </c>
      <c r="F3451" s="2" t="inlineStr">
        <is>
          <t>+ </t>
        </is>
      </c>
      <c r="H3451" s="2">
        <v>2897</v>
      </c>
      <c r="I3451" s="2" t="inlineStr">
        <is>
          <t>$</t>
        </is>
      </c>
      <c r="J3451" s="2">
        <f>HYPERLINK("https://app.astro.lead-studio.pro/product/e8387147-23da-4be2-9ed9-1bf5147a1ec5")</f>
      </c>
    </row>
    <row r="3452" spans="1:10" customHeight="0">
      <c r="A3452" s="2" t="inlineStr">
        <is>
          <t>Компьютеры</t>
        </is>
      </c>
      <c r="B3452" s="2" t="inlineStr">
        <is>
          <t>HP</t>
        </is>
      </c>
      <c r="C3452" s="2" t="inlineStr">
        <is>
          <t>996N0ET ПУ</t>
        </is>
      </c>
      <c r="D3452" s="2" t="inlineStr">
        <is>
          <t>ПК HP Z2 G9 MT Core i9 14900K (3.2) 32Gb SSD1Tb UHDG 770 Windows 11 Pro 64 GbitEth 700W kb мышь клавиатура черный (996N0ET ПУ)</t>
        </is>
      </c>
      <c r="E3452" s="2" t="inlineStr">
        <is>
          <t>+ </t>
        </is>
      </c>
      <c r="F3452" s="2" t="inlineStr">
        <is>
          <t>+ </t>
        </is>
      </c>
      <c r="H3452" s="2">
        <v>2840</v>
      </c>
      <c r="I3452" s="2" t="inlineStr">
        <is>
          <t>$</t>
        </is>
      </c>
      <c r="J3452" s="2">
        <f>HYPERLINK("https://app.astro.lead-studio.pro/product/841a5f38-94f2-4ae2-be0f-dbbd298853a0")</f>
      </c>
    </row>
    <row r="3453" spans="1:10" customHeight="0">
      <c r="A3453" s="2" t="inlineStr">
        <is>
          <t>Компьютеры</t>
        </is>
      </c>
      <c r="B3453" s="2" t="inlineStr">
        <is>
          <t>HP</t>
        </is>
      </c>
      <c r="C3453" s="2" t="inlineStr">
        <is>
          <t>996N0ET</t>
        </is>
      </c>
      <c r="D3453" s="2" t="inlineStr">
        <is>
          <t>ПК HP Z2 G9 MT Core i9 14900K (3.2) 32Gb SSD1Tb UHDG 770 Windows 11 Professional 64 GbitEth 700W kb мышь клавиатура черный (996N0ET)</t>
        </is>
      </c>
      <c r="E3453" s="2" t="inlineStr">
        <is>
          <t>+ </t>
        </is>
      </c>
      <c r="F3453" s="2" t="inlineStr">
        <is>
          <t>+ </t>
        </is>
      </c>
      <c r="H3453" s="2">
        <v>2935</v>
      </c>
      <c r="I3453" s="2" t="inlineStr">
        <is>
          <t>$</t>
        </is>
      </c>
      <c r="J3453" s="2">
        <f>HYPERLINK("https://app.astro.lead-studio.pro/product/c5634650-db8d-4245-86da-5d4e768da66d")</f>
      </c>
    </row>
    <row r="3454" spans="1:10" customHeight="0">
      <c r="A3454" s="2" t="inlineStr">
        <is>
          <t>Компьютеры</t>
        </is>
      </c>
      <c r="B3454" s="2" t="inlineStr">
        <is>
          <t>IRU</t>
        </is>
      </c>
      <c r="C3454" s="2" t="inlineStr">
        <is>
          <t>2031363</t>
        </is>
      </c>
      <c r="D3454" s="2" t="inlineStr">
        <is>
          <t>Неттоп IRU 310H6ITF i3 12100 (3.3) 8Gb SSD256Gb UHDG 730 Windows 11 Pro GbitEth BT черный (2031363)</t>
        </is>
      </c>
      <c r="E3454" s="2" t="inlineStr">
        <is>
          <t>+++ </t>
        </is>
      </c>
      <c r="F3454" s="2" t="inlineStr">
        <is>
          <t>+++ </t>
        </is>
      </c>
      <c r="H3454" s="2">
        <v>438</v>
      </c>
      <c r="I3454" s="2" t="inlineStr">
        <is>
          <t>$</t>
        </is>
      </c>
      <c r="J3454" s="2">
        <f>HYPERLINK("https://app.astro.lead-studio.pro/product/15a3ba06-7e00-49c1-85ff-6856ab742666")</f>
      </c>
    </row>
    <row r="3455" spans="1:10" customHeight="0">
      <c r="A3455" s="2" t="inlineStr">
        <is>
          <t>Компьютеры</t>
        </is>
      </c>
      <c r="B3455" s="2" t="inlineStr">
        <is>
          <t>IRU</t>
        </is>
      </c>
      <c r="C3455" s="2" t="inlineStr">
        <is>
          <t>2031369</t>
        </is>
      </c>
      <c r="D3455" s="2" t="inlineStr">
        <is>
          <t>Неттоп IRU 310H6ITF i3 12100 (3.3) 8Gb SSD256Gb UHDG 730 без ОС GbitEth BT черный (2031369)</t>
        </is>
      </c>
      <c r="E3455" s="2" t="inlineStr">
        <is>
          <t>++ </t>
        </is>
      </c>
      <c r="F3455" s="2" t="inlineStr">
        <is>
          <t>++ </t>
        </is>
      </c>
      <c r="H3455" s="2">
        <v>420</v>
      </c>
      <c r="I3455" s="2" t="inlineStr">
        <is>
          <t>$</t>
        </is>
      </c>
      <c r="J3455" s="2">
        <f>HYPERLINK("https://app.astro.lead-studio.pro/product/bf52e89e-c6e5-4a1f-9e5e-49534923c905")</f>
      </c>
    </row>
    <row r="3456" spans="1:10" customHeight="0">
      <c r="A3456" s="2" t="inlineStr">
        <is>
          <t>Компьютеры</t>
        </is>
      </c>
      <c r="B3456" s="2" t="inlineStr">
        <is>
          <t>IRU</t>
        </is>
      </c>
      <c r="C3456" s="2" t="inlineStr">
        <is>
          <t>2031374</t>
        </is>
      </c>
      <c r="D3456" s="2" t="inlineStr">
        <is>
          <t>Неттоп IRU 310H6ITF i5 12400 (2.5) 16Gb SSD512Gb UHDG 730 Windows 11 Pro GbitEth BT черный (2031374)</t>
        </is>
      </c>
      <c r="E3456" s="2" t="inlineStr">
        <is>
          <t>+++ </t>
        </is>
      </c>
      <c r="F3456" s="2" t="inlineStr">
        <is>
          <t>+++ </t>
        </is>
      </c>
      <c r="H3456" s="2">
        <v>517</v>
      </c>
      <c r="I3456" s="2" t="inlineStr">
        <is>
          <t>$</t>
        </is>
      </c>
      <c r="J3456" s="2">
        <f>HYPERLINK("https://app.astro.lead-studio.pro/product/49933b2a-7d1b-4106-9322-d06ef1bf9a76")</f>
      </c>
    </row>
    <row r="3457" spans="1:10" customHeight="0">
      <c r="A3457" s="2" t="inlineStr">
        <is>
          <t>Компьютеры</t>
        </is>
      </c>
      <c r="B3457" s="2" t="inlineStr">
        <is>
          <t>IRU</t>
        </is>
      </c>
      <c r="C3457" s="2" t="inlineStr">
        <is>
          <t>2031370</t>
        </is>
      </c>
      <c r="D3457" s="2" t="inlineStr">
        <is>
          <t>Неттоп IRU 310H6ITF i5 12400 (2.5) 16Gb SSD512Gb UHDG 730 без ОС GbitEth BT черный (2031370)</t>
        </is>
      </c>
      <c r="E3457" s="2" t="inlineStr">
        <is>
          <t>++ </t>
        </is>
      </c>
      <c r="F3457" s="2" t="inlineStr">
        <is>
          <t>++ </t>
        </is>
      </c>
      <c r="H3457" s="2">
        <v>499</v>
      </c>
      <c r="I3457" s="2" t="inlineStr">
        <is>
          <t>$</t>
        </is>
      </c>
      <c r="J3457" s="2">
        <f>HYPERLINK("https://app.astro.lead-studio.pro/product/2dc656b1-f5b1-4b31-88c2-82f4d2f27af2")</f>
      </c>
    </row>
    <row r="3458" spans="1:10" customHeight="0">
      <c r="A3458" s="2" t="inlineStr">
        <is>
          <t>Компьютеры</t>
        </is>
      </c>
      <c r="B3458" s="2" t="inlineStr">
        <is>
          <t>IRU</t>
        </is>
      </c>
      <c r="C3458" s="2" t="inlineStr">
        <is>
          <t>1975168</t>
        </is>
      </c>
      <c r="D3458" s="2" t="inlineStr">
        <is>
          <t>Неттоп IRU 310TLCN i3 1115G4 (3) 8Gb SSD256Gb UHDG Windows 11 Pro GbitEth WiFi BT черный (1975168)</t>
        </is>
      </c>
      <c r="E3458" s="2" t="inlineStr">
        <is>
          <t>+++ </t>
        </is>
      </c>
      <c r="F3458" s="2" t="inlineStr">
        <is>
          <t>+++ </t>
        </is>
      </c>
      <c r="H3458" s="2">
        <v>327</v>
      </c>
      <c r="I3458" s="2" t="inlineStr">
        <is>
          <t>$</t>
        </is>
      </c>
      <c r="J3458" s="2">
        <f>HYPERLINK("https://app.astro.lead-studio.pro/product/b07ffdda-1dda-4040-a72d-9d8c27505d01")</f>
      </c>
    </row>
    <row r="3459" spans="1:10" customHeight="0">
      <c r="A3459" s="2" t="inlineStr">
        <is>
          <t>Компьютеры</t>
        </is>
      </c>
      <c r="B3459" s="2" t="inlineStr">
        <is>
          <t>IRU</t>
        </is>
      </c>
      <c r="C3459" s="2" t="inlineStr">
        <is>
          <t>1975166</t>
        </is>
      </c>
      <c r="D3459" s="2" t="inlineStr">
        <is>
          <t>Неттоп IRU 310TLCN i3 1115G4 (3.0) 8Gb SSD256Gb UHDG без ОС GbitEth WiFi BT черный (1975166)</t>
        </is>
      </c>
      <c r="E3459" s="2" t="inlineStr">
        <is>
          <t>+ </t>
        </is>
      </c>
      <c r="F3459" s="2" t="inlineStr">
        <is>
          <t>+ </t>
        </is>
      </c>
      <c r="H3459" s="2">
        <v>346</v>
      </c>
      <c r="I3459" s="2" t="inlineStr">
        <is>
          <t>$</t>
        </is>
      </c>
      <c r="J3459" s="2">
        <f>HYPERLINK("https://app.astro.lead-studio.pro/product/85510b8b-bdba-4a29-b429-fb032d1c3e99")</f>
      </c>
    </row>
    <row r="3460" spans="1:10" customHeight="0">
      <c r="A3460" s="2" t="inlineStr">
        <is>
          <t>Компьютеры</t>
        </is>
      </c>
      <c r="B3460" s="2" t="inlineStr">
        <is>
          <t>IRU</t>
        </is>
      </c>
      <c r="C3460" s="2" t="inlineStr">
        <is>
          <t>1975176</t>
        </is>
      </c>
      <c r="D3460" s="2" t="inlineStr">
        <is>
          <t>Неттоп IRU 310TLCN i5 1135G7 (2.4) 16Gb SSD512Gb Iris Xe Windows 11 Pro GbitEth WiFi BT черный (1975176)</t>
        </is>
      </c>
      <c r="E3460" s="2" t="inlineStr">
        <is>
          <t>+++ </t>
        </is>
      </c>
      <c r="F3460" s="2" t="inlineStr">
        <is>
          <t>+++ </t>
        </is>
      </c>
      <c r="H3460" s="2">
        <v>418</v>
      </c>
      <c r="I3460" s="2" t="inlineStr">
        <is>
          <t>$</t>
        </is>
      </c>
      <c r="J3460" s="2">
        <f>HYPERLINK("https://app.astro.lead-studio.pro/product/973c2149-65e3-4548-8d19-836f2988d899")</f>
      </c>
    </row>
    <row r="3461" spans="1:10" customHeight="0">
      <c r="A3461" s="2" t="inlineStr">
        <is>
          <t>Компьютеры</t>
        </is>
      </c>
      <c r="B3461" s="2" t="inlineStr">
        <is>
          <t>IRU</t>
        </is>
      </c>
      <c r="C3461" s="2" t="inlineStr">
        <is>
          <t>1975175</t>
        </is>
      </c>
      <c r="D3461" s="2" t="inlineStr">
        <is>
          <t>Неттоп IRU 310TLCN i5 1135G7 (2.4) 16Gb SSD512Gb Iris Xe без ОС GbitEth WiFi BT черный (1975175)</t>
        </is>
      </c>
      <c r="E3461" s="2" t="inlineStr">
        <is>
          <t>+++ </t>
        </is>
      </c>
      <c r="F3461" s="2" t="inlineStr">
        <is>
          <t>+++ </t>
        </is>
      </c>
      <c r="H3461" s="2">
        <v>412</v>
      </c>
      <c r="I3461" s="2" t="inlineStr">
        <is>
          <t>$</t>
        </is>
      </c>
      <c r="J3461" s="2">
        <f>HYPERLINK("https://app.astro.lead-studio.pro/product/69a5aa1e-0cec-45ac-852e-5086a7d387bc")</f>
      </c>
    </row>
    <row r="3462" spans="1:10" customHeight="0">
      <c r="A3462" s="2" t="inlineStr">
        <is>
          <t>Компьютеры</t>
        </is>
      </c>
      <c r="B3462" s="2" t="inlineStr">
        <is>
          <t>IRU</t>
        </is>
      </c>
      <c r="C3462" s="2" t="inlineStr">
        <is>
          <t>1975174</t>
        </is>
      </c>
      <c r="D3462" s="2" t="inlineStr">
        <is>
          <t>Неттоп IRU 310TLCN i5 1135G7 (2.4) 8Gb SSD512Gb Iris Xe Windows 11 Pro GbitEth WiFi BT черный (1975174)</t>
        </is>
      </c>
      <c r="E3462" s="2" t="inlineStr">
        <is>
          <t>+ </t>
        </is>
      </c>
      <c r="F3462" s="2" t="inlineStr">
        <is>
          <t>+ </t>
        </is>
      </c>
      <c r="H3462" s="2">
        <v>384</v>
      </c>
      <c r="I3462" s="2" t="inlineStr">
        <is>
          <t>$</t>
        </is>
      </c>
      <c r="J3462" s="2">
        <f>HYPERLINK("https://app.astro.lead-studio.pro/product/8a357237-bac1-4067-861f-723e8f63caed")</f>
      </c>
    </row>
    <row r="3463" spans="1:10" customHeight="0">
      <c r="A3463" s="2" t="inlineStr">
        <is>
          <t>Компьютеры</t>
        </is>
      </c>
      <c r="B3463" s="2" t="inlineStr">
        <is>
          <t>IRU</t>
        </is>
      </c>
      <c r="C3463" s="2" t="inlineStr">
        <is>
          <t>1975490</t>
        </is>
      </c>
      <c r="D3463" s="2" t="inlineStr">
        <is>
          <t>Неттоп IRU 515ALC i5 12450H (2) 16Gb SSD512Gb UHDG Windows 11 Pro GbitEth WiFi BT 120W черный (1975490)</t>
        </is>
      </c>
      <c r="E3463" s="2" t="inlineStr">
        <is>
          <t>+++ </t>
        </is>
      </c>
      <c r="F3463" s="2" t="inlineStr">
        <is>
          <t>+++ </t>
        </is>
      </c>
      <c r="H3463" s="2">
        <v>423</v>
      </c>
      <c r="I3463" s="2" t="inlineStr">
        <is>
          <t>$</t>
        </is>
      </c>
      <c r="J3463" s="2">
        <f>HYPERLINK("https://app.astro.lead-studio.pro/product/a9325666-6aae-4e95-9a73-df245fbeec95")</f>
      </c>
    </row>
    <row r="3464" spans="1:10" customHeight="0">
      <c r="A3464" s="2" t="inlineStr">
        <is>
          <t>Компьютеры</t>
        </is>
      </c>
      <c r="B3464" s="2" t="inlineStr">
        <is>
          <t>IRU</t>
        </is>
      </c>
      <c r="D3464" s="2" t="inlineStr">
        <is>
          <t>Неттоп IRU Office 310H5PTF i5 10400 (2.9) 8Gb SSD256Gb UHDG 630 FreeDOS GbitEth WiFi BT черный</t>
        </is>
      </c>
      <c r="E3464" s="2" t="inlineStr">
        <is>
          <t>+ </t>
        </is>
      </c>
      <c r="F3464" s="2" t="inlineStr">
        <is>
          <t>+ </t>
        </is>
      </c>
      <c r="H3464" s="2">
        <v>442</v>
      </c>
      <c r="I3464" s="2" t="inlineStr">
        <is>
          <t>$</t>
        </is>
      </c>
    </row>
    <row r="3465" spans="1:10" customHeight="0">
      <c r="A3465" s="2" t="inlineStr">
        <is>
          <t>Компьютеры</t>
        </is>
      </c>
      <c r="B3465" s="2" t="inlineStr">
        <is>
          <t>IRU</t>
        </is>
      </c>
      <c r="C3465" s="2" t="inlineStr">
        <is>
          <t>1969053</t>
        </is>
      </c>
      <c r="D3465" s="2" t="inlineStr">
        <is>
          <t>ПК IRU 310SC MT i3 12100 (3.3) 16Gb SSD256Gb UHDG 730 Windows 11 Pro GbitEth 200W черный (1969053)</t>
        </is>
      </c>
      <c r="E3465" s="2" t="inlineStr">
        <is>
          <t>+++ </t>
        </is>
      </c>
      <c r="F3465" s="2" t="inlineStr">
        <is>
          <t>+++ </t>
        </is>
      </c>
      <c r="H3465" s="2">
        <v>481</v>
      </c>
      <c r="I3465" s="2" t="inlineStr">
        <is>
          <t>$</t>
        </is>
      </c>
      <c r="J3465" s="2">
        <f>HYPERLINK("https://app.astro.lead-studio.pro/product/67b0e785-4bf3-47d0-b5ca-8d67787866dc")</f>
      </c>
    </row>
    <row r="3466" spans="1:10" customHeight="0">
      <c r="A3466" s="2" t="inlineStr">
        <is>
          <t>Компьютеры</t>
        </is>
      </c>
      <c r="B3466" s="2" t="inlineStr">
        <is>
          <t>IRU</t>
        </is>
      </c>
      <c r="C3466" s="2" t="inlineStr">
        <is>
          <t>1969049</t>
        </is>
      </c>
      <c r="D3466" s="2" t="inlineStr">
        <is>
          <t>ПК IRU 310SC MT i3 12100 (3.3) 8Gb SSD256Gb UHDG 730 Windows 11 Pro GbitEth 200W черный (1969049)</t>
        </is>
      </c>
      <c r="E3466" s="2" t="inlineStr">
        <is>
          <t>+++ </t>
        </is>
      </c>
      <c r="F3466" s="2" t="inlineStr">
        <is>
          <t>+++ </t>
        </is>
      </c>
      <c r="H3466" s="2">
        <v>446</v>
      </c>
      <c r="I3466" s="2" t="inlineStr">
        <is>
          <t>$</t>
        </is>
      </c>
      <c r="J3466" s="2">
        <f>HYPERLINK("https://app.astro.lead-studio.pro/product/b9c35fa4-c1b4-4608-b3df-6ad6d8b2fa8f")</f>
      </c>
    </row>
    <row r="3467" spans="1:10" customHeight="0">
      <c r="A3467" s="2" t="inlineStr">
        <is>
          <t>Компьютеры</t>
        </is>
      </c>
      <c r="B3467" s="2" t="inlineStr">
        <is>
          <t>IRU</t>
        </is>
      </c>
      <c r="C3467" s="2" t="inlineStr">
        <is>
          <t>1969065</t>
        </is>
      </c>
      <c r="D3467" s="2" t="inlineStr">
        <is>
          <t>ПК IRU 310SC MT i5 12400 (2.5) 16Gb SSD512Gb UHDG 730 Windows 11 Pro GbitEth 200W черный (1969065)</t>
        </is>
      </c>
      <c r="E3467" s="2" t="inlineStr">
        <is>
          <t>+++ </t>
        </is>
      </c>
      <c r="F3467" s="2" t="inlineStr">
        <is>
          <t>+++ </t>
        </is>
      </c>
      <c r="H3467" s="2">
        <v>632</v>
      </c>
      <c r="I3467" s="2" t="inlineStr">
        <is>
          <t>$</t>
        </is>
      </c>
      <c r="J3467" s="2">
        <f>HYPERLINK("https://app.astro.lead-studio.pro/product/893f0687-29e1-4f3d-b493-de9c0cdb577f")</f>
      </c>
    </row>
    <row r="3468" spans="1:10" customHeight="0">
      <c r="A3468" s="2" t="inlineStr">
        <is>
          <t>Компьютеры</t>
        </is>
      </c>
      <c r="B3468" s="2" t="inlineStr">
        <is>
          <t>IRU</t>
        </is>
      </c>
      <c r="C3468" s="2" t="inlineStr">
        <is>
          <t>1969064</t>
        </is>
      </c>
      <c r="D3468" s="2" t="inlineStr">
        <is>
          <t>ПК IRU 310SC MT i5 12400 (2.5) 8Gb SSD256Gb UHDG 730 Windows 11 Pro GbitEth 200W черный (1969064)</t>
        </is>
      </c>
      <c r="E3468" s="2" t="inlineStr">
        <is>
          <t>+ </t>
        </is>
      </c>
      <c r="F3468" s="2" t="inlineStr">
        <is>
          <t>+ </t>
        </is>
      </c>
      <c r="H3468" s="2">
        <v>531</v>
      </c>
      <c r="I3468" s="2" t="inlineStr">
        <is>
          <t>$</t>
        </is>
      </c>
      <c r="J3468" s="2">
        <f>HYPERLINK("https://app.astro.lead-studio.pro/product/7f110fd3-8813-4075-879d-8e557a6891d1")</f>
      </c>
    </row>
    <row r="3469" spans="1:10" customHeight="0">
      <c r="A3469" s="2" t="inlineStr">
        <is>
          <t>Компьютеры</t>
        </is>
      </c>
      <c r="B3469" s="2" t="inlineStr">
        <is>
          <t>IRU</t>
        </is>
      </c>
      <c r="C3469" s="2" t="inlineStr">
        <is>
          <t>1969074</t>
        </is>
      </c>
      <c r="D3469" s="2" t="inlineStr">
        <is>
          <t>ПК IRU 310SC MT i7 12700 (2.1) 16Gb SSD1Tb UHDG 770 Windows 11 Pro GbitEth 200W черный (1969074)</t>
        </is>
      </c>
      <c r="E3469" s="2" t="inlineStr">
        <is>
          <t>++ </t>
        </is>
      </c>
      <c r="F3469" s="2" t="inlineStr">
        <is>
          <t>++ </t>
        </is>
      </c>
      <c r="H3469" s="2">
        <v>766</v>
      </c>
      <c r="I3469" s="2" t="inlineStr">
        <is>
          <t>$</t>
        </is>
      </c>
      <c r="J3469" s="2">
        <f>HYPERLINK("https://app.astro.lead-studio.pro/product/ccaa691e-938f-4cd9-a42b-6add2735fb63")</f>
      </c>
    </row>
    <row r="3470" spans="1:10" customHeight="0">
      <c r="A3470" s="2" t="inlineStr">
        <is>
          <t>Компьютеры</t>
        </is>
      </c>
      <c r="B3470" s="2" t="inlineStr">
        <is>
          <t>IRU</t>
        </is>
      </c>
      <c r="C3470" s="2" t="inlineStr">
        <is>
          <t>2017895</t>
        </is>
      </c>
      <c r="D3470" s="2" t="inlineStr">
        <is>
          <t>ПК IRU 310SC MT i7 12700 (2.1) 32Gb SSD1Tb UHDG 770 Windows 11 Pro GbitEth 200W черный (2017895)</t>
        </is>
      </c>
      <c r="E3470" s="2" t="inlineStr">
        <is>
          <t>++ </t>
        </is>
      </c>
      <c r="F3470" s="2" t="inlineStr">
        <is>
          <t>++ </t>
        </is>
      </c>
      <c r="H3470" s="2">
        <v>837</v>
      </c>
      <c r="I3470" s="2" t="inlineStr">
        <is>
          <t>$</t>
        </is>
      </c>
      <c r="J3470" s="2">
        <f>HYPERLINK("https://app.astro.lead-studio.pro/product/076155e0-cb57-4237-a43f-5faf34ab6a06")</f>
      </c>
    </row>
    <row r="3471" spans="1:10" customHeight="0">
      <c r="A3471" s="2" t="inlineStr">
        <is>
          <t>Компьютеры</t>
        </is>
      </c>
      <c r="B3471" s="2" t="inlineStr">
        <is>
          <t>IRU</t>
        </is>
      </c>
      <c r="C3471" s="2" t="inlineStr">
        <is>
          <t>2017897</t>
        </is>
      </c>
      <c r="D3471" s="2" t="inlineStr">
        <is>
          <t>ПК IRU 310SC SFF Cel G6900 (3.4) 8Gb SSD256Gb UHDG 710 Windows 11 Pro GbitEth 200W черный (2017897)</t>
        </is>
      </c>
      <c r="E3471" s="2" t="inlineStr">
        <is>
          <t>+ </t>
        </is>
      </c>
      <c r="F3471" s="2" t="inlineStr">
        <is>
          <t>+ </t>
        </is>
      </c>
      <c r="H3471" s="2">
        <v>353</v>
      </c>
      <c r="I3471" s="2" t="inlineStr">
        <is>
          <t>$</t>
        </is>
      </c>
      <c r="J3471" s="2">
        <f>HYPERLINK("https://app.astro.lead-studio.pro/product/ae364e4a-e837-4065-933b-ea26df34beb2")</f>
      </c>
    </row>
    <row r="3472" spans="1:10" customHeight="0">
      <c r="A3472" s="2" t="inlineStr">
        <is>
          <t>Компьютеры</t>
        </is>
      </c>
      <c r="B3472" s="2" t="inlineStr">
        <is>
          <t>IRU</t>
        </is>
      </c>
      <c r="C3472" s="2" t="inlineStr">
        <is>
          <t>1969056</t>
        </is>
      </c>
      <c r="D3472" s="2" t="inlineStr">
        <is>
          <t>ПК IRU 310SC SFF i3 12100 (3.3) 16Gb SSD256Gb UHDG 730 Windows 11 Pro GbitEth 200W черный (1969056)</t>
        </is>
      </c>
      <c r="E3472" s="2" t="inlineStr">
        <is>
          <t>++ </t>
        </is>
      </c>
      <c r="F3472" s="2" t="inlineStr">
        <is>
          <t>++ </t>
        </is>
      </c>
      <c r="H3472" s="2">
        <v>490</v>
      </c>
      <c r="I3472" s="2" t="inlineStr">
        <is>
          <t>$</t>
        </is>
      </c>
      <c r="J3472" s="2">
        <f>HYPERLINK("https://app.astro.lead-studio.pro/product/9bec7aab-8c30-4f2f-bd69-d54c03827c9a")</f>
      </c>
    </row>
    <row r="3473" spans="1:10" customHeight="0">
      <c r="A3473" s="2" t="inlineStr">
        <is>
          <t>Компьютеры</t>
        </is>
      </c>
      <c r="B3473" s="2" t="inlineStr">
        <is>
          <t>IRU</t>
        </is>
      </c>
      <c r="C3473" s="2" t="inlineStr">
        <is>
          <t>1969054</t>
        </is>
      </c>
      <c r="D3473" s="2" t="inlineStr">
        <is>
          <t>ПК IRU 310SC SFF i3 12100 (3.3) 8Gb SSD256Gb UHDG 730 Windows 11 Pro GbitEth 200W черный (1969054)</t>
        </is>
      </c>
      <c r="E3473" s="2" t="inlineStr">
        <is>
          <t>+++ </t>
        </is>
      </c>
      <c r="F3473" s="2" t="inlineStr">
        <is>
          <t>+++ </t>
        </is>
      </c>
      <c r="H3473" s="2">
        <v>473</v>
      </c>
      <c r="I3473" s="2" t="inlineStr">
        <is>
          <t>$</t>
        </is>
      </c>
      <c r="J3473" s="2">
        <f>HYPERLINK("https://app.astro.lead-studio.pro/product/715f23df-3e99-4930-91ca-5c5f0aaca2d2")</f>
      </c>
    </row>
    <row r="3474" spans="1:10" customHeight="0">
      <c r="A3474" s="2" t="inlineStr">
        <is>
          <t>Компьютеры</t>
        </is>
      </c>
      <c r="B3474" s="2" t="inlineStr">
        <is>
          <t>IRU</t>
        </is>
      </c>
      <c r="C3474" s="2" t="inlineStr">
        <is>
          <t>1969071</t>
        </is>
      </c>
      <c r="D3474" s="2" t="inlineStr">
        <is>
          <t>ПК IRU 310SC SFF i5 12400 (2.5) 16Gb SSD512Gb UHDG 730 Windows 11 Pro GbitEth 200W черный (1969071)</t>
        </is>
      </c>
      <c r="E3474" s="2" t="inlineStr">
        <is>
          <t>++ </t>
        </is>
      </c>
      <c r="F3474" s="2" t="inlineStr">
        <is>
          <t>++ </t>
        </is>
      </c>
      <c r="H3474" s="2">
        <v>619</v>
      </c>
      <c r="I3474" s="2" t="inlineStr">
        <is>
          <t>$</t>
        </is>
      </c>
      <c r="J3474" s="2">
        <f>HYPERLINK("https://app.astro.lead-studio.pro/product/85372695-b457-4a88-9051-0b19147161be")</f>
      </c>
    </row>
    <row r="3475" spans="1:10" customHeight="0">
      <c r="A3475" s="2" t="inlineStr">
        <is>
          <t>Компьютеры</t>
        </is>
      </c>
      <c r="B3475" s="2" t="inlineStr">
        <is>
          <t>IRU</t>
        </is>
      </c>
      <c r="C3475" s="2" t="inlineStr">
        <is>
          <t>1969067</t>
        </is>
      </c>
      <c r="D3475" s="2" t="inlineStr">
        <is>
          <t>ПК IRU 310SC SFF i5 12400 (2.5) 8Gb SSD256Gb UHDG 730 Windows 11 Pro GbitEth 200W черный (1969067)</t>
        </is>
      </c>
      <c r="E3475" s="2" t="inlineStr">
        <is>
          <t>++ </t>
        </is>
      </c>
      <c r="F3475" s="2" t="inlineStr">
        <is>
          <t>++ </t>
        </is>
      </c>
      <c r="H3475" s="2">
        <v>545</v>
      </c>
      <c r="I3475" s="2" t="inlineStr">
        <is>
          <t>$</t>
        </is>
      </c>
      <c r="J3475" s="2">
        <f>HYPERLINK("https://app.astro.lead-studio.pro/product/9a8a1f8d-a343-42f7-a7dd-1ef9e9a3006e")</f>
      </c>
    </row>
    <row r="3476" spans="1:10" customHeight="0">
      <c r="A3476" s="2" t="inlineStr">
        <is>
          <t>Компьютеры</t>
        </is>
      </c>
      <c r="B3476" s="2" t="inlineStr">
        <is>
          <t>IRU</t>
        </is>
      </c>
      <c r="C3476" s="2" t="inlineStr">
        <is>
          <t>2067132</t>
        </is>
      </c>
      <c r="D3476" s="2" t="inlineStr">
        <is>
          <t>ПК IRU Corp 510 MT i3 10100 (3.6) 16Gb SSD512Gb UHDG 630 FreeDOS GbitEth 400W черный (2067132)</t>
        </is>
      </c>
      <c r="E3476" s="2" t="inlineStr">
        <is>
          <t>+ </t>
        </is>
      </c>
      <c r="F3476" s="2" t="inlineStr">
        <is>
          <t>+ </t>
        </is>
      </c>
      <c r="H3476" s="2">
        <v>412</v>
      </c>
      <c r="I3476" s="2" t="inlineStr">
        <is>
          <t>$</t>
        </is>
      </c>
      <c r="J3476" s="2">
        <f>HYPERLINK("https://app.astro.lead-studio.pro/product/5ee17e80-aeb6-4de3-903d-2c4aef1063ad")</f>
      </c>
    </row>
    <row r="3477" spans="1:10" customHeight="0">
      <c r="A3477" s="2" t="inlineStr">
        <is>
          <t>Компьютеры</t>
        </is>
      </c>
      <c r="B3477" s="2" t="inlineStr">
        <is>
          <t>IRU</t>
        </is>
      </c>
      <c r="C3477" s="2" t="inlineStr">
        <is>
          <t>2067109</t>
        </is>
      </c>
      <c r="D3477" s="2" t="inlineStr">
        <is>
          <t>ПК IRU Corp 510 MT i3 10105 (3.7) 8Gb SSD256Gb UHDG 630 FreeDOS GbitEth 400W черный (2067109)</t>
        </is>
      </c>
      <c r="E3477" s="2" t="inlineStr">
        <is>
          <t>+ </t>
        </is>
      </c>
      <c r="F3477" s="2" t="inlineStr">
        <is>
          <t>+ </t>
        </is>
      </c>
      <c r="H3477" s="2">
        <v>353</v>
      </c>
      <c r="I3477" s="2" t="inlineStr">
        <is>
          <t>$</t>
        </is>
      </c>
      <c r="J3477" s="2">
        <f>HYPERLINK("https://app.astro.lead-studio.pro/product/47a1e853-c9ef-42e5-bc0f-24436c0720a4")</f>
      </c>
    </row>
    <row r="3478" spans="1:10" customHeight="0">
      <c r="A3478" s="2" t="inlineStr">
        <is>
          <t>Компьютеры</t>
        </is>
      </c>
      <c r="B3478" s="2" t="inlineStr">
        <is>
          <t>IRU</t>
        </is>
      </c>
      <c r="C3478" s="2" t="inlineStr">
        <is>
          <t>2068590</t>
        </is>
      </c>
      <c r="D3478" s="2" t="inlineStr">
        <is>
          <t>ПК IRU Corp 715 TWR i5 12600K (3.7) 16Gb SSD1Tb RTX4060 8Gb FreeDOS GbitEth 650W черный (2068590)</t>
        </is>
      </c>
      <c r="E3478" s="2" t="inlineStr">
        <is>
          <t>+ </t>
        </is>
      </c>
      <c r="F3478" s="2" t="inlineStr">
        <is>
          <t>+ </t>
        </is>
      </c>
      <c r="H3478" s="2">
        <v>1215</v>
      </c>
      <c r="I3478" s="2" t="inlineStr">
        <is>
          <t>$</t>
        </is>
      </c>
      <c r="J3478" s="2">
        <f>HYPERLINK("https://app.astro.lead-studio.pro/product/0d518e0f-1472-455f-8e06-2c14fd01c108")</f>
      </c>
    </row>
    <row r="3479" spans="1:10" customHeight="0">
      <c r="A3479" s="2" t="inlineStr">
        <is>
          <t>Компьютеры</t>
        </is>
      </c>
      <c r="B3479" s="2" t="inlineStr">
        <is>
          <t>IRU</t>
        </is>
      </c>
      <c r="C3479" s="2" t="inlineStr">
        <is>
          <t>2068547</t>
        </is>
      </c>
      <c r="D3479" s="2" t="inlineStr">
        <is>
          <t>ПК IRU Corp 717 TWR i7 12700K (3.6) 32Gb SSD1Tb RTX4070Ti Super 16Gb FreeDOS 10GbEth 850W черный (2068547)</t>
        </is>
      </c>
      <c r="E3479" s="2" t="inlineStr">
        <is>
          <t>+ </t>
        </is>
      </c>
      <c r="F3479" s="2" t="inlineStr">
        <is>
          <t>+ </t>
        </is>
      </c>
      <c r="H3479" s="2">
        <v>2300</v>
      </c>
      <c r="I3479" s="2" t="inlineStr">
        <is>
          <t>$</t>
        </is>
      </c>
      <c r="J3479" s="2">
        <f>HYPERLINK("https://app.astro.lead-studio.pro/product/adbf7880-e7bb-4043-bafb-c48c5af79a61")</f>
      </c>
    </row>
    <row r="3480" spans="1:10" customHeight="0">
      <c r="A3480" s="2" t="inlineStr">
        <is>
          <t>Компьютеры</t>
        </is>
      </c>
      <c r="B3480" s="2" t="inlineStr">
        <is>
          <t>IRU</t>
        </is>
      </c>
      <c r="C3480" s="2" t="inlineStr">
        <is>
          <t>2000612</t>
        </is>
      </c>
      <c r="D3480" s="2" t="inlineStr">
        <is>
          <t>ПК IRU Game 310H6GE MT i5 12400F (2.5) 16Gb SSD512Gb RTX3060 12Gb Free DOS GbitEth 650W черный (2000612)</t>
        </is>
      </c>
      <c r="E3480" s="2" t="inlineStr">
        <is>
          <t>+ </t>
        </is>
      </c>
      <c r="F3480" s="2" t="inlineStr">
        <is>
          <t>+ </t>
        </is>
      </c>
      <c r="H3480" s="2">
        <v>793</v>
      </c>
      <c r="I3480" s="2" t="inlineStr">
        <is>
          <t>$</t>
        </is>
      </c>
      <c r="J3480" s="2">
        <f>HYPERLINK("https://app.astro.lead-studio.pro/product/0cc8debc-af43-4564-8b40-d77fb1e95f48")</f>
      </c>
    </row>
    <row r="3481" spans="1:10" customHeight="0">
      <c r="A3481" s="2" t="inlineStr">
        <is>
          <t>Компьютеры</t>
        </is>
      </c>
      <c r="B3481" s="2" t="inlineStr">
        <is>
          <t>IRU</t>
        </is>
      </c>
      <c r="C3481" s="2" t="inlineStr">
        <is>
          <t>2069946</t>
        </is>
      </c>
      <c r="D3481" s="2" t="inlineStr">
        <is>
          <t>ПК IRU Game 320H6E MT Ryzen 5 5500 (3.6) 16Gb SSD512Gb RTX3050 6Gb FreeDOS GbitEth 400W черный (2069946)</t>
        </is>
      </c>
      <c r="E3481" s="2" t="inlineStr">
        <is>
          <t>+ </t>
        </is>
      </c>
      <c r="F3481" s="2" t="inlineStr">
        <is>
          <t>+ </t>
        </is>
      </c>
      <c r="H3481" s="2">
        <v>649</v>
      </c>
      <c r="I3481" s="2" t="inlineStr">
        <is>
          <t>$</t>
        </is>
      </c>
      <c r="J3481" s="2">
        <f>HYPERLINK("https://app.astro.lead-studio.pro/product/bcd4d0b8-628f-4086-8f43-d6ebff29538e")</f>
      </c>
    </row>
    <row r="3482" spans="1:10" customHeight="0">
      <c r="A3482" s="2" t="inlineStr">
        <is>
          <t>Компьютеры</t>
        </is>
      </c>
      <c r="B3482" s="2" t="inlineStr">
        <is>
          <t>IRU</t>
        </is>
      </c>
      <c r="C3482" s="2" t="inlineStr">
        <is>
          <t>2072588</t>
        </is>
      </c>
      <c r="D3482" s="2" t="inlineStr">
        <is>
          <t>ПК IRU Game 510B5GMA MT Ryzen 5 5600X (3.7) 32Gb SSD1Tb RTX4060 8Gb FreeDOS GbitEth 700W черный (2072588)</t>
        </is>
      </c>
      <c r="E3482" s="2" t="inlineStr">
        <is>
          <t>+ </t>
        </is>
      </c>
      <c r="F3482" s="2" t="inlineStr">
        <is>
          <t>+ </t>
        </is>
      </c>
      <c r="H3482" s="2">
        <v>1062</v>
      </c>
      <c r="I3482" s="2" t="inlineStr">
        <is>
          <t>$</t>
        </is>
      </c>
      <c r="J3482" s="2">
        <f>HYPERLINK("https://app.astro.lead-studio.pro/product/ae8e2d63-3f08-41bb-90f2-eb4a7af66fde")</f>
      </c>
    </row>
    <row r="3483" spans="1:10" customHeight="0">
      <c r="A3483" s="2" t="inlineStr">
        <is>
          <t>Компьютеры</t>
        </is>
      </c>
      <c r="B3483" s="2" t="inlineStr">
        <is>
          <t>IRU</t>
        </is>
      </c>
      <c r="C3483" s="2" t="inlineStr">
        <is>
          <t>2059457</t>
        </is>
      </c>
      <c r="D3483" s="2" t="inlineStr">
        <is>
          <t>ПК IRU Game 510B7GM MT i5 12400F (2.5) 16Gb SSD512Gb RTX3050 8Gb FreeDOS GbitEth 650W черный (2059457)</t>
        </is>
      </c>
      <c r="E3483" s="2" t="inlineStr">
        <is>
          <t>+ </t>
        </is>
      </c>
      <c r="F3483" s="2" t="inlineStr">
        <is>
          <t>+ </t>
        </is>
      </c>
      <c r="H3483" s="2">
        <v>718</v>
      </c>
      <c r="I3483" s="2" t="inlineStr">
        <is>
          <t>$</t>
        </is>
      </c>
      <c r="J3483" s="2">
        <f>HYPERLINK("https://app.astro.lead-studio.pro/product/26ec98a0-19bd-4902-af8f-a1b157ce493a")</f>
      </c>
    </row>
    <row r="3484" spans="1:10" customHeight="0">
      <c r="A3484" s="2" t="inlineStr">
        <is>
          <t>Компьютеры</t>
        </is>
      </c>
      <c r="B3484" s="2" t="inlineStr">
        <is>
          <t>IRU</t>
        </is>
      </c>
      <c r="C3484" s="2" t="inlineStr">
        <is>
          <t>2058685</t>
        </is>
      </c>
      <c r="D3484" s="2" t="inlineStr">
        <is>
          <t>ПК IRU Game 510B7GM MT i5 12400F (2.5) 16Gb SSD512Gb RTX3060 12Gb FreeDOS GbitEth 650W черный (2058685)</t>
        </is>
      </c>
      <c r="E3484" s="2" t="inlineStr">
        <is>
          <t>+ </t>
        </is>
      </c>
      <c r="F3484" s="2" t="inlineStr">
        <is>
          <t>+ </t>
        </is>
      </c>
      <c r="H3484" s="2">
        <v>846</v>
      </c>
      <c r="I3484" s="2" t="inlineStr">
        <is>
          <t>$</t>
        </is>
      </c>
      <c r="J3484" s="2">
        <f>HYPERLINK("https://app.astro.lead-studio.pro/product/76732027-ffbc-4ecf-a0db-9625585c3e16")</f>
      </c>
    </row>
    <row r="3485" spans="1:10" customHeight="0">
      <c r="A3485" s="2" t="inlineStr">
        <is>
          <t>Компьютеры</t>
        </is>
      </c>
      <c r="B3485" s="2" t="inlineStr">
        <is>
          <t>IRU</t>
        </is>
      </c>
      <c r="C3485" s="2" t="inlineStr">
        <is>
          <t>2059450</t>
        </is>
      </c>
      <c r="D3485" s="2" t="inlineStr">
        <is>
          <t>ПК IRU Game 510B7GM MT i5 12400F (2.5) 16Gb SSD512Gb RTX4060 8Gb FreeDOS GbitEth 650W черный (2059450)</t>
        </is>
      </c>
      <c r="E3485" s="2" t="inlineStr">
        <is>
          <t>++ </t>
        </is>
      </c>
      <c r="F3485" s="2" t="inlineStr">
        <is>
          <t>++ </t>
        </is>
      </c>
      <c r="H3485" s="2">
        <v>848</v>
      </c>
      <c r="I3485" s="2" t="inlineStr">
        <is>
          <t>$</t>
        </is>
      </c>
      <c r="J3485" s="2">
        <f>HYPERLINK("https://app.astro.lead-studio.pro/product/b2836e5b-1aa2-42e2-b8a5-76b901cf8b3f")</f>
      </c>
    </row>
    <row r="3486" spans="1:10" customHeight="0">
      <c r="A3486" s="2" t="inlineStr">
        <is>
          <t>Компьютеры</t>
        </is>
      </c>
      <c r="B3486" s="2" t="inlineStr">
        <is>
          <t>IRU</t>
        </is>
      </c>
      <c r="C3486" s="2" t="inlineStr">
        <is>
          <t>2008963</t>
        </is>
      </c>
      <c r="D3486" s="2" t="inlineStr">
        <is>
          <t>ПК IRU Game 510B7GP MT i5 13400F (2.5) 32Gb SSD1Tb RTX4070 12Gb FreeDOS GbitEth 800W черный (2008963)</t>
        </is>
      </c>
      <c r="E3486" s="2" t="inlineStr">
        <is>
          <t>+ </t>
        </is>
      </c>
      <c r="F3486" s="2" t="inlineStr">
        <is>
          <t>+ </t>
        </is>
      </c>
      <c r="H3486" s="2">
        <v>1490</v>
      </c>
      <c r="I3486" s="2" t="inlineStr">
        <is>
          <t>$</t>
        </is>
      </c>
      <c r="J3486" s="2">
        <f>HYPERLINK("https://app.astro.lead-studio.pro/product/d25ca243-d156-4fee-98ee-87f05645afce")</f>
      </c>
    </row>
    <row r="3487" spans="1:10" customHeight="0">
      <c r="A3487" s="2" t="inlineStr">
        <is>
          <t>Компьютеры</t>
        </is>
      </c>
      <c r="B3487" s="2" t="inlineStr">
        <is>
          <t>IRU</t>
        </is>
      </c>
      <c r="C3487" s="2" t="inlineStr">
        <is>
          <t>2055740</t>
        </is>
      </c>
      <c r="D3487" s="2" t="inlineStr">
        <is>
          <t>ПК IRU Game 510B7GS MT i5 12400F (2.5) 16Gb SSD512Gb RTX4060 8Gb FreeDOS GbitEth 600W черный (2055740)</t>
        </is>
      </c>
      <c r="E3487" s="2" t="inlineStr">
        <is>
          <t>+ </t>
        </is>
      </c>
      <c r="F3487" s="2" t="inlineStr">
        <is>
          <t>+ </t>
        </is>
      </c>
      <c r="H3487" s="2">
        <v>896</v>
      </c>
      <c r="I3487" s="2" t="inlineStr">
        <is>
          <t>$</t>
        </is>
      </c>
      <c r="J3487" s="2">
        <f>HYPERLINK("https://app.astro.lead-studio.pro/product/f9141526-7e2a-462b-8cf2-9d6bf763eb21")</f>
      </c>
    </row>
    <row r="3488" spans="1:10" customHeight="0">
      <c r="A3488" s="2" t="inlineStr">
        <is>
          <t>Компьютеры</t>
        </is>
      </c>
      <c r="B3488" s="2" t="inlineStr">
        <is>
          <t>IRU</t>
        </is>
      </c>
      <c r="C3488" s="2" t="inlineStr">
        <is>
          <t>2070903</t>
        </is>
      </c>
      <c r="D3488" s="2" t="inlineStr">
        <is>
          <t>ПК IRU Game 510B7GS MT i5 13400F (2.5) 16Gb SSD1Tb RTX4060 8Gb FreeDOS GbitEth 700W черный (2070903)</t>
        </is>
      </c>
      <c r="E3488" s="2" t="inlineStr">
        <is>
          <t>+ </t>
        </is>
      </c>
      <c r="F3488" s="2" t="inlineStr">
        <is>
          <t>+ </t>
        </is>
      </c>
      <c r="H3488" s="2">
        <v>993</v>
      </c>
      <c r="I3488" s="2" t="inlineStr">
        <is>
          <t>$</t>
        </is>
      </c>
      <c r="J3488" s="2">
        <f>HYPERLINK("https://app.astro.lead-studio.pro/product/c463fb04-b3c3-4bf2-aead-9da004df5f31")</f>
      </c>
    </row>
    <row r="3489" spans="1:10" customHeight="0">
      <c r="A3489" s="2" t="inlineStr">
        <is>
          <t>Компьютеры</t>
        </is>
      </c>
      <c r="B3489" s="2" t="inlineStr">
        <is>
          <t>IRU</t>
        </is>
      </c>
      <c r="C3489" s="2" t="inlineStr">
        <is>
          <t>2070904</t>
        </is>
      </c>
      <c r="D3489" s="2" t="inlineStr">
        <is>
          <t>ПК IRU Game 510B7GS MT i5 13400F (2.5) 32Gb SSD1Tb RTX4060 8Gb FreeDOS GbitEth 700W черный (2070904)</t>
        </is>
      </c>
      <c r="E3489" s="2" t="inlineStr">
        <is>
          <t>+ </t>
        </is>
      </c>
      <c r="F3489" s="2" t="inlineStr">
        <is>
          <t>+ </t>
        </is>
      </c>
      <c r="H3489" s="2">
        <v>1100</v>
      </c>
      <c r="I3489" s="2" t="inlineStr">
        <is>
          <t>$</t>
        </is>
      </c>
      <c r="J3489" s="2">
        <f>HYPERLINK("https://app.astro.lead-studio.pro/product/0dc72da6-6586-4f25-b1ba-21a9d5694d51")</f>
      </c>
    </row>
    <row r="3490" spans="1:10" customHeight="0">
      <c r="A3490" s="2" t="inlineStr">
        <is>
          <t>Компьютеры</t>
        </is>
      </c>
      <c r="B3490" s="2" t="inlineStr">
        <is>
          <t>IRU</t>
        </is>
      </c>
      <c r="C3490" s="2" t="inlineStr">
        <is>
          <t>2074666</t>
        </is>
      </c>
      <c r="D3490" s="2" t="inlineStr">
        <is>
          <t>ПК IRU Game 510H6SEA MT i3 13100F (3.4) 16Gb SSD512Gb RTX3050 6Gb FreeDOS GbitEth 500W черный (2074666)</t>
        </is>
      </c>
      <c r="E3490" s="2" t="inlineStr">
        <is>
          <t>++ </t>
        </is>
      </c>
      <c r="F3490" s="2" t="inlineStr">
        <is>
          <t>++ </t>
        </is>
      </c>
      <c r="H3490" s="2">
        <v>640</v>
      </c>
      <c r="I3490" s="2" t="inlineStr">
        <is>
          <t>$</t>
        </is>
      </c>
      <c r="J3490" s="2">
        <f>HYPERLINK("https://app.astro.lead-studio.pro/product/f1d3c6a4-8703-4b05-8111-050b8b0a1c6a")</f>
      </c>
    </row>
    <row r="3491" spans="1:10" customHeight="0">
      <c r="A3491" s="2" t="inlineStr">
        <is>
          <t>Компьютеры</t>
        </is>
      </c>
      <c r="B3491" s="2" t="inlineStr">
        <is>
          <t>IRU</t>
        </is>
      </c>
      <c r="C3491" s="2" t="inlineStr">
        <is>
          <t>2023156</t>
        </is>
      </c>
      <c r="D3491" s="2" t="inlineStr">
        <is>
          <t>ПК IRU Game 510H6SEA MT i5 12400F (2.5) 16Gb SSD512Gb RTX3050 8Gb FreeDOS GbitEth 500W черный (2023156)</t>
        </is>
      </c>
      <c r="E3491" s="2" t="inlineStr">
        <is>
          <t>+ </t>
        </is>
      </c>
      <c r="F3491" s="2" t="inlineStr">
        <is>
          <t>+ </t>
        </is>
      </c>
      <c r="H3491" s="2">
        <v>702</v>
      </c>
      <c r="I3491" s="2" t="inlineStr">
        <is>
          <t>$</t>
        </is>
      </c>
      <c r="J3491" s="2">
        <f>HYPERLINK("https://app.astro.lead-studio.pro/product/b9b66d92-78ce-4462-840f-58f2ebd3a426")</f>
      </c>
    </row>
    <row r="3492" spans="1:10" customHeight="0">
      <c r="A3492" s="2" t="inlineStr">
        <is>
          <t>Компьютеры</t>
        </is>
      </c>
      <c r="B3492" s="2" t="inlineStr">
        <is>
          <t>IRU</t>
        </is>
      </c>
      <c r="C3492" s="2" t="inlineStr">
        <is>
          <t>2074692</t>
        </is>
      </c>
      <c r="D3492" s="2" t="inlineStr">
        <is>
          <t>ПК IRU Game 510H6SEA MT i5 13400F (2.5) 16Gb SSD512Gb RTX4060 8Gb FreeDOS GbitEth 600W черный (2074692)</t>
        </is>
      </c>
      <c r="E3492" s="2" t="inlineStr">
        <is>
          <t>+ </t>
        </is>
      </c>
      <c r="F3492" s="2" t="inlineStr">
        <is>
          <t>+ </t>
        </is>
      </c>
      <c r="H3492" s="2">
        <v>907</v>
      </c>
      <c r="I3492" s="2" t="inlineStr">
        <is>
          <t>$</t>
        </is>
      </c>
      <c r="J3492" s="2">
        <f>HYPERLINK("https://app.astro.lead-studio.pro/product/58312552-eab8-4a11-8423-642176d830eb")</f>
      </c>
    </row>
    <row r="3493" spans="1:10" customHeight="0">
      <c r="A3493" s="2" t="inlineStr">
        <is>
          <t>Компьютеры</t>
        </is>
      </c>
      <c r="B3493" s="2" t="inlineStr">
        <is>
          <t>IRU</t>
        </is>
      </c>
      <c r="C3493" s="2" t="inlineStr">
        <is>
          <t>2074695</t>
        </is>
      </c>
      <c r="D3493" s="2" t="inlineStr">
        <is>
          <t>ПК IRU Game 510H6SEA MT i5 13400F (2.5) 32Gb SSD512Gb RTX4060 8Gb FreeDOS GbitEth 500W черный (2074695)</t>
        </is>
      </c>
      <c r="E3493" s="2" t="inlineStr">
        <is>
          <t>+ </t>
        </is>
      </c>
      <c r="F3493" s="2" t="inlineStr">
        <is>
          <t>+ </t>
        </is>
      </c>
      <c r="H3493" s="2">
        <v>944</v>
      </c>
      <c r="I3493" s="2" t="inlineStr">
        <is>
          <t>$</t>
        </is>
      </c>
      <c r="J3493" s="2">
        <f>HYPERLINK("https://app.astro.lead-studio.pro/product/9945ebfd-81ba-4369-811d-55f730dcb717")</f>
      </c>
    </row>
    <row r="3494" spans="1:10" customHeight="0">
      <c r="A3494" s="2" t="inlineStr">
        <is>
          <t>Компьютеры</t>
        </is>
      </c>
      <c r="B3494" s="2" t="inlineStr">
        <is>
          <t>IRU</t>
        </is>
      </c>
      <c r="C3494" s="2" t="inlineStr">
        <is>
          <t>2073973</t>
        </is>
      </c>
      <c r="D3494" s="2" t="inlineStr">
        <is>
          <t>ПК IRU Game 510H6SEA MT Ryzen 5 5600 (3.5) 16Gb SSD512Gb RTX3050 6Gb FreeDOS GbitEth 500W черный (2073973)</t>
        </is>
      </c>
      <c r="E3494" s="2" t="inlineStr">
        <is>
          <t>+ </t>
        </is>
      </c>
      <c r="F3494" s="2" t="inlineStr">
        <is>
          <t>+ </t>
        </is>
      </c>
      <c r="H3494" s="2">
        <v>628</v>
      </c>
      <c r="I3494" s="2" t="inlineStr">
        <is>
          <t>$</t>
        </is>
      </c>
      <c r="J3494" s="2">
        <f>HYPERLINK("https://app.astro.lead-studio.pro/product/1d75b9e1-8502-4d20-ab70-dd2000cd48f6")</f>
      </c>
    </row>
    <row r="3495" spans="1:10" customHeight="0">
      <c r="A3495" s="2" t="inlineStr">
        <is>
          <t>Компьютеры</t>
        </is>
      </c>
      <c r="B3495" s="2" t="inlineStr">
        <is>
          <t>IRU</t>
        </is>
      </c>
      <c r="C3495" s="2" t="inlineStr">
        <is>
          <t>2073977</t>
        </is>
      </c>
      <c r="D3495" s="2" t="inlineStr">
        <is>
          <t>ПК IRU Game 510H6SEA MT Ryzen 5 5600 (3.5) 32Gb SSD512Gb RTX4060 8Gb FreeDOS GbitEth 500W черный (2073977)</t>
        </is>
      </c>
      <c r="E3495" s="2" t="inlineStr">
        <is>
          <t>++ </t>
        </is>
      </c>
      <c r="F3495" s="2" t="inlineStr">
        <is>
          <t>++ </t>
        </is>
      </c>
      <c r="H3495" s="2">
        <v>903</v>
      </c>
      <c r="I3495" s="2" t="inlineStr">
        <is>
          <t>$</t>
        </is>
      </c>
      <c r="J3495" s="2">
        <f>HYPERLINK("https://app.astro.lead-studio.pro/product/0f09b711-54f7-4e77-8c5c-769de36be200")</f>
      </c>
    </row>
    <row r="3496" spans="1:10" customHeight="0">
      <c r="A3496" s="2" t="inlineStr">
        <is>
          <t>Компьютеры</t>
        </is>
      </c>
      <c r="B3496" s="2" t="inlineStr">
        <is>
          <t>IRU</t>
        </is>
      </c>
      <c r="C3496" s="2" t="inlineStr">
        <is>
          <t>2075418</t>
        </is>
      </c>
      <c r="D3496" s="2" t="inlineStr">
        <is>
          <t>ПК IRU Game 515 MT i7 14700F (2.1) 48Gb SSD1Tb RTX4080 Super 16Gb Windows 11 Pro 64 2.5xGbitEth 850W черный (2075418)</t>
        </is>
      </c>
      <c r="E3496" s="2" t="inlineStr">
        <is>
          <t>+ </t>
        </is>
      </c>
      <c r="F3496" s="2" t="inlineStr">
        <is>
          <t>+ </t>
        </is>
      </c>
      <c r="H3496" s="2">
        <v>3026</v>
      </c>
      <c r="I3496" s="2" t="inlineStr">
        <is>
          <t>$</t>
        </is>
      </c>
      <c r="J3496" s="2">
        <f>HYPERLINK("https://app.astro.lead-studio.pro/product/4576d44a-f364-441a-90ab-eddd594a9127")</f>
      </c>
    </row>
    <row r="3497" spans="1:10" customHeight="0">
      <c r="A3497" s="2" t="inlineStr">
        <is>
          <t>Компьютеры</t>
        </is>
      </c>
      <c r="B3497" s="2" t="inlineStr">
        <is>
          <t>IRU</t>
        </is>
      </c>
      <c r="C3497" s="2" t="inlineStr">
        <is>
          <t>1926551</t>
        </is>
      </c>
      <c r="D3497" s="2" t="inlineStr">
        <is>
          <t>ПК IRU Game 520B5GMA MT Ryzen 5 5600X (3.7) 16Gb SSD512Gb RTX3050 8Gb FreeDOS GbitEth 650W черный (1926551)</t>
        </is>
      </c>
      <c r="E3497" s="2" t="inlineStr">
        <is>
          <t>++ </t>
        </is>
      </c>
      <c r="F3497" s="2" t="inlineStr">
        <is>
          <t>++ </t>
        </is>
      </c>
      <c r="H3497" s="2">
        <v>829</v>
      </c>
      <c r="I3497" s="2" t="inlineStr">
        <is>
          <t>$</t>
        </is>
      </c>
      <c r="J3497" s="2">
        <f>HYPERLINK("https://app.astro.lead-studio.pro/product/7b5192a9-90d4-4e53-9f20-5651345779ca")</f>
      </c>
    </row>
    <row r="3498" spans="1:10" customHeight="0">
      <c r="A3498" s="2" t="inlineStr">
        <is>
          <t>Компьютеры</t>
        </is>
      </c>
      <c r="B3498" s="2" t="inlineStr">
        <is>
          <t>IRU</t>
        </is>
      </c>
      <c r="C3498" s="2" t="inlineStr">
        <is>
          <t>2075400</t>
        </is>
      </c>
      <c r="D3498" s="2" t="inlineStr">
        <is>
          <t>ПК IRU Game 527 TWR Ryzen 7 7700X (4.5) 48Gb SSD1Tb RX 7700XT 12Gb Windows 11 Pro 64 2.5xGbitEth 850W черный (2075400)</t>
        </is>
      </c>
      <c r="E3498" s="2" t="inlineStr">
        <is>
          <t>+ </t>
        </is>
      </c>
      <c r="F3498" s="2" t="inlineStr">
        <is>
          <t>+ </t>
        </is>
      </c>
      <c r="H3498" s="2">
        <v>2067</v>
      </c>
      <c r="I3498" s="2" t="inlineStr">
        <is>
          <t>$</t>
        </is>
      </c>
      <c r="J3498" s="2">
        <f>HYPERLINK("https://app.astro.lead-studio.pro/product/067b00ed-0ca4-47e9-bcbe-13dd23c80b10")</f>
      </c>
    </row>
    <row r="3499" spans="1:10" customHeight="0">
      <c r="A3499" s="2" t="inlineStr">
        <is>
          <t>Компьютеры</t>
        </is>
      </c>
      <c r="B3499" s="2" t="inlineStr">
        <is>
          <t>IRU</t>
        </is>
      </c>
      <c r="C3499" s="2" t="inlineStr">
        <is>
          <t>2075020</t>
        </is>
      </c>
      <c r="D3499" s="2" t="inlineStr">
        <is>
          <t>ПК IRU Game 710Z7GP TWR i7 12700F (2.1) 32Gb SSD1Tb RTX4060Ti 8Gb FreeDOS GbitEth 850W черный (2075020)</t>
        </is>
      </c>
      <c r="E3499" s="2" t="inlineStr">
        <is>
          <t>+ </t>
        </is>
      </c>
      <c r="F3499" s="2" t="inlineStr">
        <is>
          <t>+ </t>
        </is>
      </c>
      <c r="H3499" s="2">
        <v>1430</v>
      </c>
      <c r="I3499" s="2" t="inlineStr">
        <is>
          <t>$</t>
        </is>
      </c>
      <c r="J3499" s="2">
        <f>HYPERLINK("https://app.astro.lead-studio.pro/product/4a042336-57b5-4f4c-a077-938833aca6e4")</f>
      </c>
    </row>
    <row r="3500" spans="1:10" customHeight="0">
      <c r="A3500" s="2" t="inlineStr">
        <is>
          <t>Компьютеры</t>
        </is>
      </c>
      <c r="B3500" s="2" t="inlineStr">
        <is>
          <t>IRU</t>
        </is>
      </c>
      <c r="C3500" s="2" t="inlineStr">
        <is>
          <t>2075027</t>
        </is>
      </c>
      <c r="D3500" s="2" t="inlineStr">
        <is>
          <t>ПК IRU Game 710Z7GP TWR i7 12700F (2.1) 32Gb SSD1Tb RX 7700XT 12Gb FreeDOS GbitEth 850W черный (2075027)</t>
        </is>
      </c>
      <c r="E3500" s="2" t="inlineStr">
        <is>
          <t>+ </t>
        </is>
      </c>
      <c r="F3500" s="2" t="inlineStr">
        <is>
          <t>+ </t>
        </is>
      </c>
      <c r="H3500" s="2">
        <v>1376</v>
      </c>
      <c r="I3500" s="2" t="inlineStr">
        <is>
          <t>$</t>
        </is>
      </c>
      <c r="J3500" s="2">
        <f>HYPERLINK("https://app.astro.lead-studio.pro/product/b56e4d2a-6b13-4cec-8a62-c5ac8be013c2")</f>
      </c>
    </row>
    <row r="3501" spans="1:10" customHeight="0">
      <c r="A3501" s="2" t="inlineStr">
        <is>
          <t>Компьютеры</t>
        </is>
      </c>
      <c r="B3501" s="2" t="inlineStr">
        <is>
          <t>IRU</t>
        </is>
      </c>
      <c r="C3501" s="2" t="inlineStr">
        <is>
          <t>2075025</t>
        </is>
      </c>
      <c r="D3501" s="2" t="inlineStr">
        <is>
          <t>ПК IRU Game 710Z7GP TWR i7 12700F (2.1) 64Gb SSD1Tb RTX 4070Super 12Gb FreeDOS GbitEth 850W черный (2075025)</t>
        </is>
      </c>
      <c r="E3501" s="2" t="inlineStr">
        <is>
          <t>+ </t>
        </is>
      </c>
      <c r="F3501" s="2" t="inlineStr">
        <is>
          <t>+ </t>
        </is>
      </c>
      <c r="H3501" s="2">
        <v>1864</v>
      </c>
      <c r="I3501" s="2" t="inlineStr">
        <is>
          <t>$</t>
        </is>
      </c>
      <c r="J3501" s="2">
        <f>HYPERLINK("https://app.astro.lead-studio.pro/product/637deffc-411b-4589-8c12-aac2b252ae0d")</f>
      </c>
    </row>
    <row r="3502" spans="1:10" customHeight="0">
      <c r="A3502" s="2" t="inlineStr">
        <is>
          <t>Компьютеры</t>
        </is>
      </c>
      <c r="B3502" s="2" t="inlineStr">
        <is>
          <t>IRU</t>
        </is>
      </c>
      <c r="C3502" s="2" t="inlineStr">
        <is>
          <t>2075023</t>
        </is>
      </c>
      <c r="D3502" s="2" t="inlineStr">
        <is>
          <t>ПК IRU Game 710Z7GP TWR i7 12700F (2.1) 64Gb SSD1Tb RTX4060Ti 8Gb FreeDOS GbitEth 850W черный (2075023)</t>
        </is>
      </c>
      <c r="E3502" s="2" t="inlineStr">
        <is>
          <t>+ </t>
        </is>
      </c>
      <c r="F3502" s="2" t="inlineStr">
        <is>
          <t>+ </t>
        </is>
      </c>
      <c r="H3502" s="2">
        <v>1529</v>
      </c>
      <c r="I3502" s="2" t="inlineStr">
        <is>
          <t>$</t>
        </is>
      </c>
      <c r="J3502" s="2">
        <f>HYPERLINK("https://app.astro.lead-studio.pro/product/b5c1c42b-11f1-4a54-a5d7-5b3f13d2d0ef")</f>
      </c>
    </row>
    <row r="3503" spans="1:10" customHeight="0">
      <c r="A3503" s="2" t="inlineStr">
        <is>
          <t>Компьютеры</t>
        </is>
      </c>
      <c r="B3503" s="2" t="inlineStr">
        <is>
          <t>IRU</t>
        </is>
      </c>
      <c r="C3503" s="2" t="inlineStr">
        <is>
          <t>2074793</t>
        </is>
      </c>
      <c r="D3503" s="2" t="inlineStr">
        <is>
          <t>ПК IRU Home 310B7G TWR i7 12700 (2.1) 16Gb SSD1Tb UHDG 770 FreeDOS GbitEth 700W черный (2074793)</t>
        </is>
      </c>
      <c r="E3503" s="2" t="inlineStr">
        <is>
          <t>++ </t>
        </is>
      </c>
      <c r="F3503" s="2" t="inlineStr">
        <is>
          <t>++ </t>
        </is>
      </c>
      <c r="H3503" s="2">
        <v>720</v>
      </c>
      <c r="I3503" s="2" t="inlineStr">
        <is>
          <t>$</t>
        </is>
      </c>
      <c r="J3503" s="2">
        <f>HYPERLINK("https://app.astro.lead-studio.pro/product/f0a51155-dc12-43ef-9f0a-2021ba77a4c7")</f>
      </c>
    </row>
    <row r="3504" spans="1:10" customHeight="0">
      <c r="A3504" s="2" t="inlineStr">
        <is>
          <t>Компьютеры</t>
        </is>
      </c>
      <c r="B3504" s="2" t="inlineStr">
        <is>
          <t>IRU</t>
        </is>
      </c>
      <c r="C3504" s="2" t="inlineStr">
        <is>
          <t>2074796</t>
        </is>
      </c>
      <c r="D3504" s="2" t="inlineStr">
        <is>
          <t>ПК IRU Home 310B7G TWR i7 12700 (2.1) 32Gb SSD1Tb UHDG 770 FreeDOS GbitEth 700W черный (2074796)</t>
        </is>
      </c>
      <c r="E3504" s="2" t="inlineStr">
        <is>
          <t>++ </t>
        </is>
      </c>
      <c r="F3504" s="2" t="inlineStr">
        <is>
          <t>++ </t>
        </is>
      </c>
      <c r="H3504" s="2">
        <v>754</v>
      </c>
      <c r="I3504" s="2" t="inlineStr">
        <is>
          <t>$</t>
        </is>
      </c>
      <c r="J3504" s="2">
        <f>HYPERLINK("https://app.astro.lead-studio.pro/product/003c9a7f-d5b5-4e05-b536-5249c7eda729")</f>
      </c>
    </row>
    <row r="3505" spans="1:10" customHeight="0">
      <c r="A3505" s="2" t="inlineStr">
        <is>
          <t>Компьютеры</t>
        </is>
      </c>
      <c r="B3505" s="2" t="inlineStr">
        <is>
          <t>IRU</t>
        </is>
      </c>
      <c r="C3505" s="2" t="inlineStr">
        <is>
          <t>2074700</t>
        </is>
      </c>
      <c r="D3505" s="2" t="inlineStr">
        <is>
          <t>ПК IRU Home 310H6G TWR i5 12400 (2.5) 16Gb SSD1Tb UHDG 730 FreeDOS GbitEth 400W черный (2074700)</t>
        </is>
      </c>
      <c r="E3505" s="2" t="inlineStr">
        <is>
          <t>++ </t>
        </is>
      </c>
      <c r="F3505" s="2" t="inlineStr">
        <is>
          <t>++ </t>
        </is>
      </c>
      <c r="H3505" s="2">
        <v>423</v>
      </c>
      <c r="I3505" s="2" t="inlineStr">
        <is>
          <t>$</t>
        </is>
      </c>
      <c r="J3505" s="2">
        <f>HYPERLINK("https://app.astro.lead-studio.pro/product/7b34d3fe-bbb0-47f7-8e59-e6bf6cdbf5b8")</f>
      </c>
    </row>
    <row r="3506" spans="1:10" customHeight="0">
      <c r="A3506" s="2" t="inlineStr">
        <is>
          <t>Компьютеры</t>
        </is>
      </c>
      <c r="B3506" s="2" t="inlineStr">
        <is>
          <t>IRU</t>
        </is>
      </c>
      <c r="C3506" s="2" t="inlineStr">
        <is>
          <t>1994647</t>
        </is>
      </c>
      <c r="D3506" s="2" t="inlineStr">
        <is>
          <t>ПК IRU Home 310H6SE MT i3 12100 (3.3) 16Gb SSD1Tb UHDG 730 FreeDOS GbitEth 400W черный (1994647)</t>
        </is>
      </c>
      <c r="E3506" s="2" t="inlineStr">
        <is>
          <t>++ </t>
        </is>
      </c>
      <c r="F3506" s="2" t="inlineStr">
        <is>
          <t>++ </t>
        </is>
      </c>
      <c r="H3506" s="2">
        <v>391</v>
      </c>
      <c r="I3506" s="2" t="inlineStr">
        <is>
          <t>$</t>
        </is>
      </c>
      <c r="J3506" s="2">
        <f>HYPERLINK("https://app.astro.lead-studio.pro/product/7faf4d72-49fc-4554-a9a3-f52eba4ae73d")</f>
      </c>
    </row>
    <row r="3507" spans="1:10" customHeight="0">
      <c r="A3507" s="2" t="inlineStr">
        <is>
          <t>Компьютеры</t>
        </is>
      </c>
      <c r="B3507" s="2" t="inlineStr">
        <is>
          <t>IRU</t>
        </is>
      </c>
      <c r="C3507" s="2" t="inlineStr">
        <is>
          <t>1994644</t>
        </is>
      </c>
      <c r="D3507" s="2" t="inlineStr">
        <is>
          <t>ПК IRU Home 310H6SE MT i3 12100 (3.3) 16Gb SSD256Gb UHDG 730 FreeDOS GbitEth 400W черный (1994644)</t>
        </is>
      </c>
      <c r="E3507" s="2" t="inlineStr">
        <is>
          <t>+++ </t>
        </is>
      </c>
      <c r="F3507" s="2" t="inlineStr">
        <is>
          <t>+++ </t>
        </is>
      </c>
      <c r="H3507" s="2">
        <v>342</v>
      </c>
      <c r="I3507" s="2" t="inlineStr">
        <is>
          <t>$</t>
        </is>
      </c>
      <c r="J3507" s="2">
        <f>HYPERLINK("https://app.astro.lead-studio.pro/product/facc8ef5-5842-4428-acbe-c9e196db665a")</f>
      </c>
    </row>
    <row r="3508" spans="1:10" customHeight="0">
      <c r="A3508" s="2" t="inlineStr">
        <is>
          <t>Компьютеры</t>
        </is>
      </c>
      <c r="B3508" s="2" t="inlineStr">
        <is>
          <t>IRU</t>
        </is>
      </c>
      <c r="C3508" s="2" t="inlineStr">
        <is>
          <t>1994645</t>
        </is>
      </c>
      <c r="D3508" s="2" t="inlineStr">
        <is>
          <t>ПК IRU Home 310H6SE MT i3 12100 (3.3) 16Gb SSD512Gb UHDG 730 FreeDOS GbitEth 400W черный (1994645)</t>
        </is>
      </c>
      <c r="E3508" s="2" t="inlineStr">
        <is>
          <t>+++ </t>
        </is>
      </c>
      <c r="F3508" s="2" t="inlineStr">
        <is>
          <t>+++ </t>
        </is>
      </c>
      <c r="H3508" s="2">
        <v>358</v>
      </c>
      <c r="I3508" s="2" t="inlineStr">
        <is>
          <t>$</t>
        </is>
      </c>
      <c r="J3508" s="2">
        <f>HYPERLINK("https://app.astro.lead-studio.pro/product/630a6178-825e-42e0-a117-6d6bc77ff5e7")</f>
      </c>
    </row>
    <row r="3509" spans="1:10" customHeight="0">
      <c r="A3509" s="2" t="inlineStr">
        <is>
          <t>Компьютеры</t>
        </is>
      </c>
      <c r="B3509" s="2" t="inlineStr">
        <is>
          <t>IRU</t>
        </is>
      </c>
      <c r="C3509" s="2" t="inlineStr">
        <is>
          <t>1994642</t>
        </is>
      </c>
      <c r="D3509" s="2" t="inlineStr">
        <is>
          <t>ПК IRU Home 310H6SE MT i3 12100 (3.3) 8Gb SSD1Tb UHDG 730 FreeDOS GbitEth 400W черный (1994642)</t>
        </is>
      </c>
      <c r="E3509" s="2" t="inlineStr">
        <is>
          <t>+ </t>
        </is>
      </c>
      <c r="F3509" s="2" t="inlineStr">
        <is>
          <t>+ </t>
        </is>
      </c>
      <c r="H3509" s="2">
        <v>366</v>
      </c>
      <c r="I3509" s="2" t="inlineStr">
        <is>
          <t>$</t>
        </is>
      </c>
      <c r="J3509" s="2">
        <f>HYPERLINK("https://app.astro.lead-studio.pro/product/476d2bed-e080-4f5e-98fa-3289de9fc681")</f>
      </c>
    </row>
    <row r="3510" spans="1:10" customHeight="0">
      <c r="A3510" s="2" t="inlineStr">
        <is>
          <t>Компьютеры</t>
        </is>
      </c>
      <c r="B3510" s="2" t="inlineStr">
        <is>
          <t>IRU</t>
        </is>
      </c>
      <c r="C3510" s="2" t="inlineStr">
        <is>
          <t>1994638</t>
        </is>
      </c>
      <c r="D3510" s="2" t="inlineStr">
        <is>
          <t>ПК IRU Home 310H6SE MT i3 12100 (3.3) 8Gb SSD256Gb UHDG 730 FreeDOS GbitEth 400W черный (1994638)</t>
        </is>
      </c>
      <c r="E3510" s="2" t="inlineStr">
        <is>
          <t>+++ </t>
        </is>
      </c>
      <c r="F3510" s="2" t="inlineStr">
        <is>
          <t>+++ </t>
        </is>
      </c>
      <c r="H3510" s="2">
        <v>317</v>
      </c>
      <c r="I3510" s="2" t="inlineStr">
        <is>
          <t>$</t>
        </is>
      </c>
      <c r="J3510" s="2">
        <f>HYPERLINK("https://app.astro.lead-studio.pro/product/cbcda12b-a421-48d5-9af0-7793f467cfa2")</f>
      </c>
    </row>
    <row r="3511" spans="1:10" customHeight="0">
      <c r="A3511" s="2" t="inlineStr">
        <is>
          <t>Компьютеры</t>
        </is>
      </c>
      <c r="B3511" s="2" t="inlineStr">
        <is>
          <t>IRU</t>
        </is>
      </c>
      <c r="C3511" s="2" t="inlineStr">
        <is>
          <t>2074932</t>
        </is>
      </c>
      <c r="D3511" s="2" t="inlineStr">
        <is>
          <t>ПК IRU Home 310H6SE MT i3 13100 (3.4) 16Gb SSD1Tb UHDG 730 FreeDOS GbitEth 450W черный (2074932)</t>
        </is>
      </c>
      <c r="E3511" s="2" t="inlineStr">
        <is>
          <t>+ </t>
        </is>
      </c>
      <c r="F3511" s="2" t="inlineStr">
        <is>
          <t>+ </t>
        </is>
      </c>
      <c r="H3511" s="2">
        <v>384</v>
      </c>
      <c r="I3511" s="2" t="inlineStr">
        <is>
          <t>$</t>
        </is>
      </c>
      <c r="J3511" s="2">
        <f>HYPERLINK("https://app.astro.lead-studio.pro/product/1167d05e-f2ef-49b9-8fe2-056ac03bf5f3")</f>
      </c>
    </row>
    <row r="3512" spans="1:10" customHeight="0">
      <c r="A3512" s="2" t="inlineStr">
        <is>
          <t>Компьютеры</t>
        </is>
      </c>
      <c r="B3512" s="2" t="inlineStr">
        <is>
          <t>IRU</t>
        </is>
      </c>
      <c r="C3512" s="2" t="inlineStr">
        <is>
          <t>2032024</t>
        </is>
      </c>
      <c r="D3512" s="2" t="inlineStr">
        <is>
          <t>ПК IRU Home 310H6SE MT i3 13100 (3.4) 8Gb SSD256Gb UHDG 730 FreeDOS GbitEth 400W черный (2032024)</t>
        </is>
      </c>
      <c r="E3512" s="2" t="inlineStr">
        <is>
          <t>+ </t>
        </is>
      </c>
      <c r="F3512" s="2" t="inlineStr">
        <is>
          <t>+ </t>
        </is>
      </c>
      <c r="H3512" s="2">
        <v>338</v>
      </c>
      <c r="I3512" s="2" t="inlineStr">
        <is>
          <t>$</t>
        </is>
      </c>
      <c r="J3512" s="2">
        <f>HYPERLINK("https://app.astro.lead-studio.pro/product/223f5041-69d7-4d1e-bac2-23d271f0912a")</f>
      </c>
    </row>
    <row r="3513" spans="1:10" customHeight="0">
      <c r="A3513" s="2" t="inlineStr">
        <is>
          <t>Компьютеры</t>
        </is>
      </c>
      <c r="B3513" s="2" t="inlineStr">
        <is>
          <t>IRU</t>
        </is>
      </c>
      <c r="C3513" s="2" t="inlineStr">
        <is>
          <t>1996652</t>
        </is>
      </c>
      <c r="D3513" s="2" t="inlineStr">
        <is>
          <t>ПК IRU Home 310H6SE MT i5 12400 (2.5) 16Gb SSD1Tb UHDG 730 FreeDOS GbitEth 400W черный (1996652)</t>
        </is>
      </c>
      <c r="E3513" s="2" t="inlineStr">
        <is>
          <t>+++ </t>
        </is>
      </c>
      <c r="F3513" s="2" t="inlineStr">
        <is>
          <t>+++ </t>
        </is>
      </c>
      <c r="H3513" s="2">
        <v>431</v>
      </c>
      <c r="I3513" s="2" t="inlineStr">
        <is>
          <t>$</t>
        </is>
      </c>
      <c r="J3513" s="2">
        <f>HYPERLINK("https://app.astro.lead-studio.pro/product/61358db7-1df9-409c-ad51-05e741ed7ca3")</f>
      </c>
    </row>
    <row r="3514" spans="1:10" customHeight="0">
      <c r="A3514" s="2" t="inlineStr">
        <is>
          <t>Компьютеры</t>
        </is>
      </c>
      <c r="B3514" s="2" t="inlineStr">
        <is>
          <t>IRU</t>
        </is>
      </c>
      <c r="C3514" s="2" t="inlineStr">
        <is>
          <t>2028636</t>
        </is>
      </c>
      <c r="D3514" s="2" t="inlineStr">
        <is>
          <t>ПК IRU Home 310H6SE MT i5 12400 (2.5) 16Gb SSD512Gb UHDG 730 FreeDOS GbitEth 400W черный (2028636)</t>
        </is>
      </c>
      <c r="E3514" s="2" t="inlineStr">
        <is>
          <t>+++ </t>
        </is>
      </c>
      <c r="F3514" s="2" t="inlineStr">
        <is>
          <t>+++ </t>
        </is>
      </c>
      <c r="H3514" s="2">
        <v>388</v>
      </c>
      <c r="I3514" s="2" t="inlineStr">
        <is>
          <t>$</t>
        </is>
      </c>
      <c r="J3514" s="2">
        <f>HYPERLINK("https://app.astro.lead-studio.pro/product/9cbf62ca-cdab-479b-8854-646e742c3da6")</f>
      </c>
    </row>
    <row r="3515" spans="1:10" customHeight="0">
      <c r="A3515" s="2" t="inlineStr">
        <is>
          <t>Компьютеры</t>
        </is>
      </c>
      <c r="B3515" s="2" t="inlineStr">
        <is>
          <t>IRU</t>
        </is>
      </c>
      <c r="C3515" s="2" t="inlineStr">
        <is>
          <t>1996650</t>
        </is>
      </c>
      <c r="D3515" s="2" t="inlineStr">
        <is>
          <t>ПК IRU Home 310H6SE MT i5 12400 (2.5) 8Gb SSD1Tb UHDG 730 FreeDOS GbitEth 400W черный (1996650)</t>
        </is>
      </c>
      <c r="E3515" s="2" t="inlineStr">
        <is>
          <t>++ </t>
        </is>
      </c>
      <c r="F3515" s="2" t="inlineStr">
        <is>
          <t>++ </t>
        </is>
      </c>
      <c r="H3515" s="2">
        <v>406</v>
      </c>
      <c r="I3515" s="2" t="inlineStr">
        <is>
          <t>$</t>
        </is>
      </c>
      <c r="J3515" s="2">
        <f>HYPERLINK("https://app.astro.lead-studio.pro/product/6ccc9570-5bad-4854-9f37-09ffc2159d58")</f>
      </c>
    </row>
    <row r="3516" spans="1:10" customHeight="0">
      <c r="A3516" s="2" t="inlineStr">
        <is>
          <t>Компьютеры</t>
        </is>
      </c>
      <c r="B3516" s="2" t="inlineStr">
        <is>
          <t>IRU</t>
        </is>
      </c>
      <c r="C3516" s="2" t="inlineStr">
        <is>
          <t>1996648</t>
        </is>
      </c>
      <c r="D3516" s="2" t="inlineStr">
        <is>
          <t>ПК IRU Home 310H6SE MT i5 12400 (2.5) 8Gb SSD512Gb UHDG 730 FreeDOS GbitEth 400W черный (1996648)</t>
        </is>
      </c>
      <c r="E3516" s="2" t="inlineStr">
        <is>
          <t>+ </t>
        </is>
      </c>
      <c r="F3516" s="2" t="inlineStr">
        <is>
          <t>+ </t>
        </is>
      </c>
      <c r="H3516" s="2">
        <v>376</v>
      </c>
      <c r="I3516" s="2" t="inlineStr">
        <is>
          <t>$</t>
        </is>
      </c>
      <c r="J3516" s="2">
        <f>HYPERLINK("https://app.astro.lead-studio.pro/product/30ae890a-22e1-4f0d-bd87-bba40f373062")</f>
      </c>
    </row>
    <row r="3517" spans="1:10" customHeight="0">
      <c r="A3517" s="2" t="inlineStr">
        <is>
          <t>Компьютеры</t>
        </is>
      </c>
      <c r="B3517" s="2" t="inlineStr">
        <is>
          <t>IRU</t>
        </is>
      </c>
      <c r="C3517" s="2" t="inlineStr">
        <is>
          <t>2032028</t>
        </is>
      </c>
      <c r="D3517" s="2" t="inlineStr">
        <is>
          <t>ПК IRU Home 310H6SE MT i5 13400 (2.5) 16Gb SSD512Gb UHDG 730 FreeDOS GbitEth 400W черный (2032028)</t>
        </is>
      </c>
      <c r="E3517" s="2" t="inlineStr">
        <is>
          <t>+ </t>
        </is>
      </c>
      <c r="F3517" s="2" t="inlineStr">
        <is>
          <t>+ </t>
        </is>
      </c>
      <c r="H3517" s="2">
        <v>457</v>
      </c>
      <c r="I3517" s="2" t="inlineStr">
        <is>
          <t>$</t>
        </is>
      </c>
      <c r="J3517" s="2">
        <f>HYPERLINK("https://app.astro.lead-studio.pro/product/e4b8e95e-cb0e-49e9-bb29-ad5438453f8e")</f>
      </c>
    </row>
    <row r="3518" spans="1:10" customHeight="0">
      <c r="A3518" s="2" t="inlineStr">
        <is>
          <t>Компьютеры</t>
        </is>
      </c>
      <c r="B3518" s="2" t="inlineStr">
        <is>
          <t>IRU</t>
        </is>
      </c>
      <c r="C3518" s="2" t="inlineStr">
        <is>
          <t>2023064</t>
        </is>
      </c>
      <c r="D3518" s="2" t="inlineStr">
        <is>
          <t>ПК IRU Home 310H6SE MT i7 12700 (1.6) 16Gb SSD512Gb UHDG 770 FreeDOS GbitEth 400W черный (2023064)</t>
        </is>
      </c>
      <c r="E3518" s="2" t="inlineStr">
        <is>
          <t>+ </t>
        </is>
      </c>
      <c r="F3518" s="2" t="inlineStr">
        <is>
          <t>+ </t>
        </is>
      </c>
      <c r="H3518" s="2">
        <v>568</v>
      </c>
      <c r="I3518" s="2" t="inlineStr">
        <is>
          <t>$</t>
        </is>
      </c>
      <c r="J3518" s="2">
        <f>HYPERLINK("https://app.astro.lead-studio.pro/product/4f672af7-31ed-4969-9588-1285b684c51f")</f>
      </c>
    </row>
    <row r="3519" spans="1:10" customHeight="0">
      <c r="A3519" s="2" t="inlineStr">
        <is>
          <t>Компьютеры</t>
        </is>
      </c>
      <c r="B3519" s="2" t="inlineStr">
        <is>
          <t>IRU</t>
        </is>
      </c>
      <c r="C3519" s="2" t="inlineStr">
        <is>
          <t>1913991</t>
        </is>
      </c>
      <c r="D3519" s="2" t="inlineStr">
        <is>
          <t>ПК IRU Home 320A5GE MT Ryzen 5 5600G (3.9) 16Gb SSD512Gb RGr FreeDOS GbitEth 500W черный (1913991)</t>
        </is>
      </c>
      <c r="E3519" s="2" t="inlineStr">
        <is>
          <t>++ </t>
        </is>
      </c>
      <c r="F3519" s="2" t="inlineStr">
        <is>
          <t>++ </t>
        </is>
      </c>
      <c r="H3519" s="2">
        <v>422</v>
      </c>
      <c r="I3519" s="2" t="inlineStr">
        <is>
          <t>$</t>
        </is>
      </c>
      <c r="J3519" s="2">
        <f>HYPERLINK("https://app.astro.lead-studio.pro/product/28434cfa-7143-48b9-bd15-c28ade120f90")</f>
      </c>
    </row>
    <row r="3520" spans="1:10" customHeight="0">
      <c r="A3520" s="2" t="inlineStr">
        <is>
          <t>Компьютеры</t>
        </is>
      </c>
      <c r="B3520" s="2" t="inlineStr">
        <is>
          <t>IRU</t>
        </is>
      </c>
      <c r="C3520" s="2" t="inlineStr">
        <is>
          <t>2078544</t>
        </is>
      </c>
      <c r="D3520" s="2" t="inlineStr">
        <is>
          <t>ПК IRU Home 320A5SE MT Ryzen 5 4600G (3.7) 16Gb SSD512Gb RGr FreeDOS GbitEth 400W черный (2078544)</t>
        </is>
      </c>
      <c r="E3520" s="2" t="inlineStr">
        <is>
          <t>+++ </t>
        </is>
      </c>
      <c r="F3520" s="2" t="inlineStr">
        <is>
          <t>+++ </t>
        </is>
      </c>
      <c r="H3520" s="2">
        <v>335</v>
      </c>
      <c r="I3520" s="2" t="inlineStr">
        <is>
          <t>$</t>
        </is>
      </c>
      <c r="J3520" s="2">
        <f>HYPERLINK("https://app.astro.lead-studio.pro/product/a55f1e5c-93b2-475e-973f-a8a8b9d9e85b")</f>
      </c>
    </row>
    <row r="3521" spans="1:10" customHeight="0">
      <c r="A3521" s="2" t="inlineStr">
        <is>
          <t>Компьютеры</t>
        </is>
      </c>
      <c r="B3521" s="2" t="inlineStr">
        <is>
          <t>IRU</t>
        </is>
      </c>
      <c r="C3521" s="2" t="inlineStr">
        <is>
          <t>2056965</t>
        </is>
      </c>
      <c r="D3521" s="2" t="inlineStr">
        <is>
          <t>ПК IRU Home 510B7 MT i5 12400 (2.5) 16Gb SSD512Gb UHDG 730 FreeDOS GbitEth 400W черный (2056965)</t>
        </is>
      </c>
      <c r="E3521" s="2" t="inlineStr">
        <is>
          <t>+ </t>
        </is>
      </c>
      <c r="F3521" s="2" t="inlineStr">
        <is>
          <t>+ </t>
        </is>
      </c>
      <c r="H3521" s="2">
        <v>449</v>
      </c>
      <c r="I3521" s="2" t="inlineStr">
        <is>
          <t>$</t>
        </is>
      </c>
      <c r="J3521" s="2">
        <f>HYPERLINK("https://app.astro.lead-studio.pro/product/b792a1ea-323e-4d0e-bf79-589a40046ad4")</f>
      </c>
    </row>
    <row r="3522" spans="1:10" customHeight="0">
      <c r="A3522" s="2" t="inlineStr">
        <is>
          <t>Компьютеры</t>
        </is>
      </c>
      <c r="B3522" s="2" t="inlineStr">
        <is>
          <t>IRU</t>
        </is>
      </c>
      <c r="C3522" s="2" t="inlineStr">
        <is>
          <t>2032497</t>
        </is>
      </c>
      <c r="D3522" s="2" t="inlineStr">
        <is>
          <t>ПК IRU Home 510B7GM MT i5 12400 (2.5) 16Gb SSD512Gb UHDG 730 FreeDOS GbitEth 650W черный (2032497)</t>
        </is>
      </c>
      <c r="E3522" s="2" t="inlineStr">
        <is>
          <t>++ </t>
        </is>
      </c>
      <c r="F3522" s="2" t="inlineStr">
        <is>
          <t>++ </t>
        </is>
      </c>
      <c r="H3522" s="2">
        <v>481</v>
      </c>
      <c r="I3522" s="2" t="inlineStr">
        <is>
          <t>$</t>
        </is>
      </c>
      <c r="J3522" s="2">
        <f>HYPERLINK("https://app.astro.lead-studio.pro/product/ec85217b-7c53-46b4-99f0-f92b11bc2b1f")</f>
      </c>
    </row>
    <row r="3523" spans="1:10" customHeight="0">
      <c r="A3523" s="2" t="inlineStr">
        <is>
          <t>Компьютеры</t>
        </is>
      </c>
      <c r="B3523" s="2" t="inlineStr">
        <is>
          <t>IRU</t>
        </is>
      </c>
      <c r="C3523" s="2" t="inlineStr">
        <is>
          <t>2074957</t>
        </is>
      </c>
      <c r="D3523" s="2" t="inlineStr">
        <is>
          <t>ПК IRU Home 510B7GM MT i5 12400 (2.5) 32Gb SSD1Tb UHDG 730 FreeDOS GbitEth 700W черный (2074957)</t>
        </is>
      </c>
      <c r="E3523" s="2" t="inlineStr">
        <is>
          <t>+++ </t>
        </is>
      </c>
      <c r="F3523" s="2" t="inlineStr">
        <is>
          <t>+++ </t>
        </is>
      </c>
      <c r="H3523" s="2">
        <v>493</v>
      </c>
      <c r="I3523" s="2" t="inlineStr">
        <is>
          <t>$</t>
        </is>
      </c>
      <c r="J3523" s="2">
        <f>HYPERLINK("https://app.astro.lead-studio.pro/product/c7fda0bb-634c-40cf-ba36-6043fc728795")</f>
      </c>
    </row>
    <row r="3524" spans="1:10" customHeight="0">
      <c r="A3524" s="2" t="inlineStr">
        <is>
          <t>Компьютеры</t>
        </is>
      </c>
      <c r="B3524" s="2" t="inlineStr">
        <is>
          <t>IRU</t>
        </is>
      </c>
      <c r="C3524" s="2" t="inlineStr">
        <is>
          <t>2063117</t>
        </is>
      </c>
      <c r="D3524" s="2" t="inlineStr">
        <is>
          <t>ПК IRU Office 310H6S MT i3 12100 (3.3) 8Gb SSD512Gb UHDG 730 FreeDOS GbitEth 400W черный (2063117)</t>
        </is>
      </c>
      <c r="E3524" s="2" t="inlineStr">
        <is>
          <t>+ </t>
        </is>
      </c>
      <c r="F3524" s="2" t="inlineStr">
        <is>
          <t>+ </t>
        </is>
      </c>
      <c r="H3524" s="2">
        <v>368</v>
      </c>
      <c r="I3524" s="2" t="inlineStr">
        <is>
          <t>$</t>
        </is>
      </c>
      <c r="J3524" s="2">
        <f>HYPERLINK("https://app.astro.lead-studio.pro/product/9d4e4093-381a-4c6c-b76f-15778076a9e0")</f>
      </c>
    </row>
    <row r="3525" spans="1:10" customHeight="0">
      <c r="A3525" s="2" t="inlineStr">
        <is>
          <t>Компьютеры</t>
        </is>
      </c>
      <c r="B3525" s="2" t="inlineStr">
        <is>
          <t>IRU</t>
        </is>
      </c>
      <c r="C3525" s="2" t="inlineStr">
        <is>
          <t>2071574</t>
        </is>
      </c>
      <c r="D3525" s="2" t="inlineStr">
        <is>
          <t>ПК IRU Office 310H6S MT i5 12400 (2.5) 16Gb SSD512Gb UHDG 730 FreeDOS GbitEth 450W черный (2071574)</t>
        </is>
      </c>
      <c r="E3525" s="2" t="inlineStr">
        <is>
          <t>+ </t>
        </is>
      </c>
      <c r="F3525" s="2" t="inlineStr">
        <is>
          <t>+ </t>
        </is>
      </c>
      <c r="H3525" s="2">
        <v>384</v>
      </c>
      <c r="I3525" s="2" t="inlineStr">
        <is>
          <t>$</t>
        </is>
      </c>
      <c r="J3525" s="2">
        <f>HYPERLINK("https://app.astro.lead-studio.pro/product/a200726f-63b8-4d0c-b623-25c68ae86f10")</f>
      </c>
    </row>
    <row r="3526" spans="1:10" customHeight="0">
      <c r="A3526" s="2" t="inlineStr">
        <is>
          <t>Компьютеры</t>
        </is>
      </c>
      <c r="B3526" s="2" t="inlineStr">
        <is>
          <t>IRU</t>
        </is>
      </c>
      <c r="C3526" s="2" t="inlineStr">
        <is>
          <t>2072891</t>
        </is>
      </c>
      <c r="D3526" s="2" t="inlineStr">
        <is>
          <t>ПК IRU Office 310H6S MT i5 12400 (2.5) 16Gb SSD512Gb UHDG 730 FreeDOS GbitEth 450W черный (2072891)</t>
        </is>
      </c>
      <c r="E3526" s="2" t="inlineStr">
        <is>
          <t>+ </t>
        </is>
      </c>
      <c r="F3526" s="2" t="inlineStr">
        <is>
          <t>+ </t>
        </is>
      </c>
      <c r="H3526" s="2">
        <v>377</v>
      </c>
      <c r="I3526" s="2" t="inlineStr">
        <is>
          <t>$</t>
        </is>
      </c>
      <c r="J3526" s="2">
        <f>HYPERLINK("https://app.astro.lead-studio.pro/product/3513f027-9198-4283-857f-3c7a0779f7ed")</f>
      </c>
    </row>
    <row r="3527" spans="1:10" customHeight="0">
      <c r="A3527" s="2" t="inlineStr">
        <is>
          <t>Компьютеры</t>
        </is>
      </c>
      <c r="B3527" s="2" t="inlineStr">
        <is>
          <t>IRU</t>
        </is>
      </c>
      <c r="C3527" s="2" t="inlineStr">
        <is>
          <t>2061129</t>
        </is>
      </c>
      <c r="D3527" s="2" t="inlineStr">
        <is>
          <t>ПК IRU Office 310H6S SFF i3 12100 (3.3) 8Gb SSD256Gb UHDG 730 FreeDOS GbitEth 300W черный (2061129)</t>
        </is>
      </c>
      <c r="E3527" s="2" t="inlineStr">
        <is>
          <t>+++ </t>
        </is>
      </c>
      <c r="F3527" s="2" t="inlineStr">
        <is>
          <t>+++ </t>
        </is>
      </c>
      <c r="H3527" s="2">
        <v>336</v>
      </c>
      <c r="I3527" s="2" t="inlineStr">
        <is>
          <t>$</t>
        </is>
      </c>
      <c r="J3527" s="2">
        <f>HYPERLINK("https://app.astro.lead-studio.pro/product/57121208-ea9a-446a-8fff-323cc927e556")</f>
      </c>
    </row>
    <row r="3528" spans="1:10" customHeight="0">
      <c r="A3528" s="2" t="inlineStr">
        <is>
          <t>Компьютеры</t>
        </is>
      </c>
      <c r="B3528" s="2" t="inlineStr">
        <is>
          <t>IRU</t>
        </is>
      </c>
      <c r="C3528" s="2" t="inlineStr">
        <is>
          <t>2074699</t>
        </is>
      </c>
      <c r="D3528" s="2" t="inlineStr">
        <is>
          <t>ПК IRU Office 310H6S TWR i3 12100 (3.3) 16Gb SSD512Gb UHDG 730 FreeDOS GbitEth 400W черный (2074699)</t>
        </is>
      </c>
      <c r="E3528" s="2" t="inlineStr">
        <is>
          <t>+ </t>
        </is>
      </c>
      <c r="F3528" s="2" t="inlineStr">
        <is>
          <t>+ </t>
        </is>
      </c>
      <c r="H3528" s="2">
        <v>344</v>
      </c>
      <c r="I3528" s="2" t="inlineStr">
        <is>
          <t>$</t>
        </is>
      </c>
      <c r="J3528" s="2">
        <f>HYPERLINK("https://app.astro.lead-studio.pro/product/ae83074c-0790-407e-b1b5-b8eafa929df9")</f>
      </c>
    </row>
    <row r="3529" spans="1:10" customHeight="0">
      <c r="A3529" s="2" t="inlineStr">
        <is>
          <t>Компьютеры</t>
        </is>
      </c>
      <c r="B3529" s="2" t="inlineStr">
        <is>
          <t>IRU</t>
        </is>
      </c>
      <c r="C3529" s="2" t="inlineStr">
        <is>
          <t>2074830</t>
        </is>
      </c>
      <c r="D3529" s="2" t="inlineStr">
        <is>
          <t>ПК IRU Office 310H6S TWR i3 12100 (3.3) 16Gb SSD512Gb UHDG 730 FreeDOS GbitEth 400W черный (2074830)</t>
        </is>
      </c>
      <c r="E3529" s="2" t="inlineStr">
        <is>
          <t>+ </t>
        </is>
      </c>
      <c r="F3529" s="2" t="inlineStr">
        <is>
          <t>+ </t>
        </is>
      </c>
      <c r="H3529" s="2">
        <v>342</v>
      </c>
      <c r="I3529" s="2" t="inlineStr">
        <is>
          <t>$</t>
        </is>
      </c>
      <c r="J3529" s="2">
        <f>HYPERLINK("https://app.astro.lead-studio.pro/product/96c1e524-1549-451e-9f31-f9b42128d5e7")</f>
      </c>
    </row>
    <row r="3530" spans="1:10" customHeight="0">
      <c r="A3530" s="2" t="inlineStr">
        <is>
          <t>Компьютеры</t>
        </is>
      </c>
      <c r="B3530" s="2" t="inlineStr">
        <is>
          <t>IRU</t>
        </is>
      </c>
      <c r="C3530" s="2" t="inlineStr">
        <is>
          <t>1991582</t>
        </is>
      </c>
      <c r="D3530" s="2" t="inlineStr">
        <is>
          <t>ПК IRU Office 310H6SF SFF i3 12100 (3.3) 8Gb SSD256Gb UHDG 730 FreeDOS GbitEth 300W черный (1991582)</t>
        </is>
      </c>
      <c r="E3530" s="2" t="inlineStr">
        <is>
          <t>+ </t>
        </is>
      </c>
      <c r="F3530" s="2" t="inlineStr">
        <is>
          <t>+ </t>
        </is>
      </c>
      <c r="H3530" s="2">
        <v>350</v>
      </c>
      <c r="I3530" s="2" t="inlineStr">
        <is>
          <t>$</t>
        </is>
      </c>
      <c r="J3530" s="2">
        <f>HYPERLINK("https://app.astro.lead-studio.pro/product/4cc389ff-d68f-46db-b6d0-21c7f6b6660c")</f>
      </c>
    </row>
    <row r="3531" spans="1:10" customHeight="0">
      <c r="A3531" s="2" t="inlineStr">
        <is>
          <t>Компьютеры</t>
        </is>
      </c>
      <c r="B3531" s="2" t="inlineStr">
        <is>
          <t>IRU</t>
        </is>
      </c>
      <c r="C3531" s="2" t="inlineStr">
        <is>
          <t>2074604</t>
        </is>
      </c>
      <c r="D3531" s="2" t="inlineStr">
        <is>
          <t>ПК IRU Office 310H6SF SFF i5 12400 (2.5) 16Gb SSD512Gb UHDG 730 FreeDOS GbitEth 230W черный (2074604)</t>
        </is>
      </c>
      <c r="E3531" s="2" t="inlineStr">
        <is>
          <t>+ </t>
        </is>
      </c>
      <c r="F3531" s="2" t="inlineStr">
        <is>
          <t>+ </t>
        </is>
      </c>
      <c r="H3531" s="2">
        <v>383</v>
      </c>
      <c r="I3531" s="2" t="inlineStr">
        <is>
          <t>$</t>
        </is>
      </c>
      <c r="J3531" s="2">
        <f>HYPERLINK("https://app.astro.lead-studio.pro/product/bb82ca33-82aa-4c91-8bf7-a9ea9360116b")</f>
      </c>
    </row>
    <row r="3532" spans="1:10" customHeight="0">
      <c r="A3532" s="2" t="inlineStr">
        <is>
          <t>Компьютеры</t>
        </is>
      </c>
      <c r="B3532" s="2" t="inlineStr">
        <is>
          <t>IRU</t>
        </is>
      </c>
      <c r="C3532" s="2" t="inlineStr">
        <is>
          <t>2057721</t>
        </is>
      </c>
      <c r="D3532" s="2" t="inlineStr">
        <is>
          <t>ПК IRU Опал 312 slim PG G6405 (4.1) 8Gb SSD256Gb UHDG 610 FreeDOS GbitEth 90W черный (2057721)</t>
        </is>
      </c>
      <c r="E3532" s="2" t="inlineStr">
        <is>
          <t>+ </t>
        </is>
      </c>
      <c r="F3532" s="2" t="inlineStr">
        <is>
          <t>+ </t>
        </is>
      </c>
      <c r="H3532" s="2">
        <v>542</v>
      </c>
      <c r="I3532" s="2" t="inlineStr">
        <is>
          <t>$</t>
        </is>
      </c>
      <c r="J3532" s="2">
        <f>HYPERLINK("https://app.astro.lead-studio.pro/product/881c1e43-0de0-43d4-a02d-92e1f624d994")</f>
      </c>
    </row>
    <row r="3533" spans="1:10" customHeight="0">
      <c r="A3533" s="2" t="inlineStr">
        <is>
          <t>Компьютеры</t>
        </is>
      </c>
      <c r="B3533" s="2" t="inlineStr">
        <is>
          <t>IRU</t>
        </is>
      </c>
      <c r="C3533" s="2" t="inlineStr">
        <is>
          <t>2057725</t>
        </is>
      </c>
      <c r="D3533" s="2" t="inlineStr">
        <is>
          <t>ПК IRU Опал 313 slim i3 10100 (3.6) 8Gb SSD256Gb UHDG 630 FreeDOS GbitEth 120W черный (2057725)</t>
        </is>
      </c>
      <c r="E3533" s="2" t="inlineStr">
        <is>
          <t>+ </t>
        </is>
      </c>
      <c r="F3533" s="2" t="inlineStr">
        <is>
          <t>+ </t>
        </is>
      </c>
      <c r="H3533" s="2">
        <v>591</v>
      </c>
      <c r="I3533" s="2" t="inlineStr">
        <is>
          <t>$</t>
        </is>
      </c>
      <c r="J3533" s="2">
        <f>HYPERLINK("https://app.astro.lead-studio.pro/product/f40d58a6-be36-4b66-b640-dad4e04d3c54")</f>
      </c>
    </row>
    <row r="3534" spans="1:10" customHeight="0">
      <c r="A3534" s="2" t="inlineStr">
        <is>
          <t>Компьютеры</t>
        </is>
      </c>
      <c r="B3534" s="2" t="inlineStr">
        <is>
          <t>IRU</t>
        </is>
      </c>
      <c r="C3534" s="2" t="inlineStr">
        <is>
          <t>2057719</t>
        </is>
      </c>
      <c r="D3534" s="2" t="inlineStr">
        <is>
          <t>ПК IRU Опал 315 slim i5 10400 (2.9) 16Gb SSD512Gb UHDG 630 FreeDOS GbitEth 600W черный (2057719)</t>
        </is>
      </c>
      <c r="E3534" s="2" t="inlineStr">
        <is>
          <t>+ </t>
        </is>
      </c>
      <c r="F3534" s="2" t="inlineStr">
        <is>
          <t>+ </t>
        </is>
      </c>
      <c r="H3534" s="2">
        <v>709</v>
      </c>
      <c r="I3534" s="2" t="inlineStr">
        <is>
          <t>$</t>
        </is>
      </c>
      <c r="J3534" s="2">
        <f>HYPERLINK("https://app.astro.lead-studio.pro/product/f34f3a6a-24dd-42da-bacb-981c7ae362b5")</f>
      </c>
    </row>
    <row r="3535" spans="1:10" customHeight="0">
      <c r="A3535" s="2" t="inlineStr">
        <is>
          <t>Компьютеры</t>
        </is>
      </c>
      <c r="B3535" s="2" t="inlineStr">
        <is>
          <t>IRU</t>
        </is>
      </c>
      <c r="C3535" s="2" t="inlineStr">
        <is>
          <t>2049324</t>
        </is>
      </c>
      <c r="D3535" s="2" t="inlineStr">
        <is>
          <t>ПК IRU Опал 612 MT PG G7400 (3.7) 8Gb SSD256Gb UHDG 710 FreeDOS GbitEth 400W мышь клавиатура черный (2049324)</t>
        </is>
      </c>
      <c r="E3535" s="2" t="inlineStr">
        <is>
          <t>+ </t>
        </is>
      </c>
      <c r="F3535" s="2" t="inlineStr">
        <is>
          <t>+ </t>
        </is>
      </c>
      <c r="H3535" s="2">
        <v>423</v>
      </c>
      <c r="I3535" s="2" t="inlineStr">
        <is>
          <t>$</t>
        </is>
      </c>
      <c r="J3535" s="2">
        <f>HYPERLINK("https://app.astro.lead-studio.pro/product/37f1969b-ce50-427c-99c8-9bcf61c14b28")</f>
      </c>
    </row>
    <row r="3536" spans="1:10" customHeight="0">
      <c r="A3536" s="2" t="inlineStr">
        <is>
          <t>Компьютеры</t>
        </is>
      </c>
      <c r="B3536" s="2" t="inlineStr">
        <is>
          <t>IRU</t>
        </is>
      </c>
      <c r="C3536" s="2" t="inlineStr">
        <is>
          <t>2002031</t>
        </is>
      </c>
      <c r="D3536" s="2" t="inlineStr">
        <is>
          <t>ПК IRU Опал 613 MT i3 12100 (3.3) 8Gb SSD512Gb UHDG 730 FreeDOS GbitEth 400W kb мышь черный (2002031)</t>
        </is>
      </c>
      <c r="E3536" s="2" t="inlineStr">
        <is>
          <t>+++ </t>
        </is>
      </c>
      <c r="F3536" s="2" t="inlineStr">
        <is>
          <t>+++ </t>
        </is>
      </c>
      <c r="H3536" s="2">
        <v>545</v>
      </c>
      <c r="I3536" s="2" t="inlineStr">
        <is>
          <t>$</t>
        </is>
      </c>
      <c r="J3536" s="2">
        <f>HYPERLINK("https://app.astro.lead-studio.pro/product/ddc1280c-b3e8-40be-b126-cceb03dcd9e3")</f>
      </c>
    </row>
    <row r="3537" spans="1:10" customHeight="0">
      <c r="A3537" s="2" t="inlineStr">
        <is>
          <t>Компьютеры</t>
        </is>
      </c>
      <c r="B3537" s="2" t="inlineStr">
        <is>
          <t>IRU</t>
        </is>
      </c>
      <c r="C3537" s="2" t="inlineStr">
        <is>
          <t>2049309</t>
        </is>
      </c>
      <c r="D3537" s="2" t="inlineStr">
        <is>
          <t>ПК IRU Опал 615 MT i5 12400 (2.5) 8Gb SSD256Gb UHDG 730 FreeDOS GbitEth 400W мышь клавиатура черный (2049309)</t>
        </is>
      </c>
      <c r="E3537" s="2" t="inlineStr">
        <is>
          <t>++ </t>
        </is>
      </c>
      <c r="F3537" s="2" t="inlineStr">
        <is>
          <t>++ </t>
        </is>
      </c>
      <c r="H3537" s="2">
        <v>572</v>
      </c>
      <c r="I3537" s="2" t="inlineStr">
        <is>
          <t>$</t>
        </is>
      </c>
      <c r="J3537" s="2">
        <f>HYPERLINK("https://app.astro.lead-studio.pro/product/00247f12-6443-4f38-aa1a-925bf67b8331")</f>
      </c>
    </row>
    <row r="3538" spans="1:10" customHeight="0">
      <c r="A3538" s="2" t="inlineStr">
        <is>
          <t>Компьютеры</t>
        </is>
      </c>
      <c r="B3538" s="2" t="inlineStr">
        <is>
          <t>KVADRA</t>
        </is>
      </c>
      <c r="C3538" s="2" t="inlineStr">
        <is>
          <t>Y20SYSCAS201R_EF88C2</t>
        </is>
      </c>
      <c r="D3538" s="2" t="inlineStr">
        <is>
          <t>ПК Kvadra TAU MT i5 12500 8Gb SSD512Gb UHDG 630 без ОС 120W (Y20SYSCAS201R_EF88C2)</t>
        </is>
      </c>
      <c r="E3538" s="2" t="inlineStr">
        <is>
          <t>+ </t>
        </is>
      </c>
      <c r="F3538" s="2" t="inlineStr">
        <is>
          <t>+ </t>
        </is>
      </c>
      <c r="H3538" s="2">
        <v>1507</v>
      </c>
      <c r="I3538" s="2" t="inlineStr">
        <is>
          <t>$</t>
        </is>
      </c>
      <c r="J3538" s="2">
        <f>HYPERLINK("https://app.astro.lead-studio.pro/product/c1bb7186-bbc7-4c55-b700-ec1e9f11fca2")</f>
      </c>
    </row>
    <row r="3539" spans="1:10" customHeight="0">
      <c r="A3539" s="2" t="inlineStr">
        <is>
          <t>Компьютеры</t>
        </is>
      </c>
      <c r="B3539" s="2" t="inlineStr">
        <is>
          <t>LENOVO</t>
        </is>
      </c>
      <c r="C3539" s="2" t="inlineStr">
        <is>
          <t>12E4SB6Y00</t>
        </is>
      </c>
      <c r="D3539" s="2" t="inlineStr">
        <is>
          <t>Неттоп Lenovo ThinkCentre Tiny M70q-4 slim i5 13400T (1.3) 16Gb SSD256Gb UHDG 730 Windows 11 Pro 64 GbitEth WiFi BT 90W kb мышь клавиатура черный (12E4SB6Y00)</t>
        </is>
      </c>
      <c r="E3539" s="2" t="inlineStr">
        <is>
          <t>+ </t>
        </is>
      </c>
      <c r="F3539" s="2" t="inlineStr">
        <is>
          <t>+ </t>
        </is>
      </c>
      <c r="H3539" s="2">
        <v>1142</v>
      </c>
      <c r="I3539" s="2" t="inlineStr">
        <is>
          <t>$</t>
        </is>
      </c>
      <c r="J3539" s="2">
        <f>HYPERLINK("https://app.astro.lead-studio.pro/product/d3b024a5-dad5-45b8-a92e-dac8fca5cff3")</f>
      </c>
    </row>
    <row r="3540" spans="1:10" customHeight="0">
      <c r="A3540" s="2" t="inlineStr">
        <is>
          <t>Компьютеры</t>
        </is>
      </c>
      <c r="B3540" s="2" t="inlineStr">
        <is>
          <t>LENOVO</t>
        </is>
      </c>
      <c r="C3540" s="2" t="inlineStr">
        <is>
          <t>12E4SB6X00</t>
        </is>
      </c>
      <c r="D3540" s="2" t="inlineStr">
        <is>
          <t>Неттоп Lenovo ThinkCentre Tiny M70q-4 slim i5 13400T (1.3) 16Gb SSD256Gb UHDG 730 без ОС GbitEth WiFi BT 90W kb мышь клавиатура черный (12E4SB6X00)</t>
        </is>
      </c>
      <c r="E3540" s="2" t="inlineStr">
        <is>
          <t>+ </t>
        </is>
      </c>
      <c r="F3540" s="2" t="inlineStr">
        <is>
          <t>+ </t>
        </is>
      </c>
      <c r="H3540" s="2">
        <v>936</v>
      </c>
      <c r="I3540" s="2" t="inlineStr">
        <is>
          <t>$</t>
        </is>
      </c>
      <c r="J3540" s="2">
        <f>HYPERLINK("https://app.astro.lead-studio.pro/product/75912bc6-ab70-4e59-bfc7-65a03a9e06be")</f>
      </c>
    </row>
    <row r="3541" spans="1:10" customHeight="0">
      <c r="A3541" s="2" t="inlineStr">
        <is>
          <t>Компьютеры</t>
        </is>
      </c>
      <c r="B3541" s="2" t="inlineStr">
        <is>
          <t>LENOVO</t>
        </is>
      </c>
      <c r="C3541" s="2" t="inlineStr">
        <is>
          <t>12E4SB6V00</t>
        </is>
      </c>
      <c r="D3541" s="2" t="inlineStr">
        <is>
          <t>Неттоп Lenovo ThinkCentre Tiny M70q-4 slim i5 13400T (1.3) 16Gb SSD512Gb UHDG 730 без ОС GbitEth WiFi BT 90W kb мышь клавиатура черный (12E4SB6V00)</t>
        </is>
      </c>
      <c r="E3541" s="2" t="inlineStr">
        <is>
          <t>+++ </t>
        </is>
      </c>
      <c r="F3541" s="2" t="inlineStr">
        <is>
          <t>+++ </t>
        </is>
      </c>
      <c r="H3541" s="2">
        <v>963</v>
      </c>
      <c r="I3541" s="2" t="inlineStr">
        <is>
          <t>$</t>
        </is>
      </c>
      <c r="J3541" s="2">
        <f>HYPERLINK("https://app.astro.lead-studio.pro/product/40c4b2fa-7e2a-406a-a3d1-a8b83805fe8c")</f>
      </c>
    </row>
    <row r="3542" spans="1:10" customHeight="0">
      <c r="A3542" s="2" t="inlineStr">
        <is>
          <t>Компьютеры</t>
        </is>
      </c>
      <c r="B3542" s="2" t="inlineStr">
        <is>
          <t>LENOVO</t>
        </is>
      </c>
      <c r="C3542" s="2" t="inlineStr">
        <is>
          <t>12E4SB6W00</t>
        </is>
      </c>
      <c r="D3542" s="2" t="inlineStr">
        <is>
          <t>Неттоп Lenovo ThinkCentre Tiny M70q-4 slim i5 13400T (1.3) 8Gb SSD512Gb UHDG 730 Windows 11 Pro GbitEth WiFi BT 90W kb мышь клавиатура черный (12E4SB6W00)</t>
        </is>
      </c>
      <c r="E3542" s="2" t="inlineStr">
        <is>
          <t>+ </t>
        </is>
      </c>
      <c r="F3542" s="2" t="inlineStr">
        <is>
          <t>+ </t>
        </is>
      </c>
      <c r="H3542" s="2">
        <v>1115</v>
      </c>
      <c r="I3542" s="2" t="inlineStr">
        <is>
          <t>$</t>
        </is>
      </c>
      <c r="J3542" s="2">
        <f>HYPERLINK("https://app.astro.lead-studio.pro/product/82c940cf-d33a-4c89-a718-dfe5e7136e40")</f>
      </c>
    </row>
    <row r="3543" spans="1:10" customHeight="0">
      <c r="A3543" s="2" t="inlineStr">
        <is>
          <t>Компьютеры</t>
        </is>
      </c>
      <c r="B3543" s="2" t="inlineStr">
        <is>
          <t>LENOVO</t>
        </is>
      </c>
      <c r="C3543" s="2" t="inlineStr">
        <is>
          <t>30HBS64800</t>
        </is>
      </c>
      <c r="D3543" s="2" t="inlineStr">
        <is>
          <t>ПК Lenovo ThinkStation P3 Ultra SFF Core i9 13900 (2) 32Gb SSD1Tb UHDG 770 Windows 11 Pro 64 2.5xGbitEth+1xGbitEth 300W мышь клавиатура черный (30HBS64800)</t>
        </is>
      </c>
      <c r="E3543" s="2" t="inlineStr">
        <is>
          <t>+ </t>
        </is>
      </c>
      <c r="F3543" s="2" t="inlineStr">
        <is>
          <t>+ </t>
        </is>
      </c>
      <c r="H3543" s="2">
        <v>3001</v>
      </c>
      <c r="I3543" s="2" t="inlineStr">
        <is>
          <t>$</t>
        </is>
      </c>
      <c r="J3543" s="2">
        <f>HYPERLINK("https://app.astro.lead-studio.pro/product/6bc0eb4e-c18a-44f0-88b7-2d676555216c")</f>
      </c>
    </row>
    <row r="3544" spans="1:10" customHeight="0">
      <c r="A3544" s="2" t="inlineStr">
        <is>
          <t>Компьютеры</t>
        </is>
      </c>
      <c r="B3544" s="2" t="inlineStr">
        <is>
          <t>LENOVO</t>
        </is>
      </c>
      <c r="C3544" s="2" t="inlineStr">
        <is>
          <t>30HBS64400</t>
        </is>
      </c>
      <c r="D3544" s="2" t="inlineStr">
        <is>
          <t>ПК Lenovo ThinkStation P3 Ultra SFF Core i9 13900K (3) 32Gb SSD1Tb UHDG 770 Windows 11 Pro 64 2.5xGbitEth+1xGbitEth 300W мышь клавиатура черный (30HBS64400)</t>
        </is>
      </c>
      <c r="E3544" s="2" t="inlineStr">
        <is>
          <t>+ </t>
        </is>
      </c>
      <c r="F3544" s="2" t="inlineStr">
        <is>
          <t>+ </t>
        </is>
      </c>
      <c r="H3544" s="2">
        <v>3098</v>
      </c>
      <c r="I3544" s="2" t="inlineStr">
        <is>
          <t>$</t>
        </is>
      </c>
      <c r="J3544" s="2">
        <f>HYPERLINK("https://app.astro.lead-studio.pro/product/f124f2fe-d8a7-493d-bef0-4aed9543d628")</f>
      </c>
    </row>
    <row r="3545" spans="1:10" customHeight="0">
      <c r="A3545" s="2" t="inlineStr">
        <is>
          <t>Компьютеры</t>
        </is>
      </c>
      <c r="B3545" s="2" t="inlineStr">
        <is>
          <t>LENOVO</t>
        </is>
      </c>
      <c r="C3545" s="2" t="inlineStr">
        <is>
          <t>30HBS64700</t>
        </is>
      </c>
      <c r="D3545" s="2" t="inlineStr">
        <is>
          <t>ПК Lenovo ThinkStation P3 Ultra SFF Core i9 14900 (2) 32Gb SSD1Tb UHDG 770 Windows 11 Pro 64 2.5xGbitEth+1xGbitEth 300W мышь клавиатура черный (30HBS64700)</t>
        </is>
      </c>
      <c r="E3545" s="2" t="inlineStr">
        <is>
          <t>+ </t>
        </is>
      </c>
      <c r="F3545" s="2" t="inlineStr">
        <is>
          <t>+ </t>
        </is>
      </c>
      <c r="H3545" s="2">
        <v>3030</v>
      </c>
      <c r="I3545" s="2" t="inlineStr">
        <is>
          <t>$</t>
        </is>
      </c>
      <c r="J3545" s="2">
        <f>HYPERLINK("https://app.astro.lead-studio.pro/product/38de8bb8-e020-46f9-b3f9-186b3e93afa0")</f>
      </c>
    </row>
    <row r="3546" spans="1:10" customHeight="0">
      <c r="A3546" s="2" t="inlineStr">
        <is>
          <t>Компьютеры</t>
        </is>
      </c>
      <c r="B3546" s="2" t="inlineStr">
        <is>
          <t>LENOVO</t>
        </is>
      </c>
      <c r="C3546" s="2" t="inlineStr">
        <is>
          <t>30HBS63W00</t>
        </is>
      </c>
      <c r="D3546" s="2" t="inlineStr">
        <is>
          <t>ПК Lenovo ThinkStation P3 Ultra SFF Core i9 14900K (3.2) 32Gb SSD1Tb UHDG 770 Windows 11 Pro 64 2.5xGbitEth+1xGbitEth 300W мышь клавиатура черный (30HBS63W00)</t>
        </is>
      </c>
      <c r="E3546" s="2" t="inlineStr">
        <is>
          <t>+ </t>
        </is>
      </c>
      <c r="F3546" s="2" t="inlineStr">
        <is>
          <t>+ </t>
        </is>
      </c>
      <c r="H3546" s="2">
        <v>3093</v>
      </c>
      <c r="I3546" s="2" t="inlineStr">
        <is>
          <t>$</t>
        </is>
      </c>
      <c r="J3546" s="2">
        <f>HYPERLINK("https://app.astro.lead-studio.pro/product/ae34a18f-d2e4-4ec6-b260-7d9d7b7920f9")</f>
      </c>
    </row>
    <row r="3547" spans="1:10" customHeight="0">
      <c r="A3547" s="2" t="inlineStr">
        <is>
          <t>Компьютеры</t>
        </is>
      </c>
      <c r="B3547" s="2" t="inlineStr">
        <is>
          <t>LENOVO</t>
        </is>
      </c>
      <c r="C3547" s="2" t="inlineStr">
        <is>
          <t>30HBS64B00</t>
        </is>
      </c>
      <c r="D3547" s="2" t="inlineStr">
        <is>
          <t>ПК Lenovo ThinkStation P3 Ultra SFF i7 13700 (2.1) 16Gb SSD512Gb T1000 8Gb Windows 11 Pro 64 2.5xGbitEth+1xGbitEth 300W мышь клавиатура черный (30HBS64B00)</t>
        </is>
      </c>
      <c r="E3547" s="2" t="inlineStr">
        <is>
          <t>+ </t>
        </is>
      </c>
      <c r="F3547" s="2" t="inlineStr">
        <is>
          <t>+ </t>
        </is>
      </c>
      <c r="H3547" s="2">
        <v>3032</v>
      </c>
      <c r="I3547" s="2" t="inlineStr">
        <is>
          <t>$</t>
        </is>
      </c>
      <c r="J3547" s="2">
        <f>HYPERLINK("https://app.astro.lead-studio.pro/product/a0875896-1298-4de9-9ff2-92f4563fcdc1")</f>
      </c>
    </row>
    <row r="3548" spans="1:10" customHeight="0">
      <c r="A3548" s="2" t="inlineStr">
        <is>
          <t>Компьютеры</t>
        </is>
      </c>
      <c r="B3548" s="2" t="inlineStr">
        <is>
          <t>LENOVO</t>
        </is>
      </c>
      <c r="C3548" s="2" t="inlineStr">
        <is>
          <t>30HBS64C00</t>
        </is>
      </c>
      <c r="D3548" s="2" t="inlineStr">
        <is>
          <t>ПК Lenovo ThinkStation P3 Ultra SFF i7 13700 (2.1) 32Gb SSD1Tb UHDG 770 Windows 11 Pro 64 2.5xGbitEth+1xGbitEth 300W мышь клавиатура черный (30HBS64C00)</t>
        </is>
      </c>
      <c r="E3548" s="2" t="inlineStr">
        <is>
          <t>+ </t>
        </is>
      </c>
      <c r="F3548" s="2" t="inlineStr">
        <is>
          <t>+ </t>
        </is>
      </c>
      <c r="H3548" s="2">
        <v>2571</v>
      </c>
      <c r="I3548" s="2" t="inlineStr">
        <is>
          <t>$</t>
        </is>
      </c>
      <c r="J3548" s="2">
        <f>HYPERLINK("https://app.astro.lead-studio.pro/product/745cacaa-25d2-447e-a9ce-f9dd123b483b")</f>
      </c>
    </row>
    <row r="3549" spans="1:10" customHeight="0">
      <c r="A3549" s="2" t="inlineStr">
        <is>
          <t>Компьютеры</t>
        </is>
      </c>
      <c r="B3549" s="2" t="inlineStr">
        <is>
          <t>LENOVO</t>
        </is>
      </c>
      <c r="C3549" s="2" t="inlineStr">
        <is>
          <t>30HBS64A00</t>
        </is>
      </c>
      <c r="D3549" s="2" t="inlineStr">
        <is>
          <t>ПК Lenovo ThinkStation P3 Ultra SFF i7 13700K (3.4) 32Gb SSD1Tb UHDG 770 Windows 11 Pro 64 2.5xGbitEth+1xGbitEth 300W мышь клавиатура черный (30HBS64A00)</t>
        </is>
      </c>
      <c r="E3549" s="2" t="inlineStr">
        <is>
          <t>+ </t>
        </is>
      </c>
      <c r="F3549" s="2" t="inlineStr">
        <is>
          <t>+ </t>
        </is>
      </c>
      <c r="H3549" s="2">
        <v>2703</v>
      </c>
      <c r="I3549" s="2" t="inlineStr">
        <is>
          <t>$</t>
        </is>
      </c>
      <c r="J3549" s="2">
        <f>HYPERLINK("https://app.astro.lead-studio.pro/product/5ead3201-cd89-4092-931b-818eba1e5c70")</f>
      </c>
    </row>
    <row r="3550" spans="1:10" customHeight="0">
      <c r="A3550" s="2" t="inlineStr">
        <is>
          <t>Компьютеры</t>
        </is>
      </c>
      <c r="B3550" s="2" t="inlineStr">
        <is>
          <t>LENOVO</t>
        </is>
      </c>
      <c r="C3550" s="2" t="inlineStr">
        <is>
          <t>30HBS63X00</t>
        </is>
      </c>
      <c r="D3550" s="2" t="inlineStr">
        <is>
          <t>ПК Lenovo ThinkStation P3 Ultra SFF i7 14700 (2.1) 16Gb SSD512Gb T1000 8Gb Windows 11 Pro 64 2.5xGbitEth+1xGbitEth 300W мышь клавиатура черный (30HBS63X00)</t>
        </is>
      </c>
      <c r="E3550" s="2" t="inlineStr">
        <is>
          <t>+ </t>
        </is>
      </c>
      <c r="F3550" s="2" t="inlineStr">
        <is>
          <t>+ </t>
        </is>
      </c>
      <c r="H3550" s="2">
        <v>3076</v>
      </c>
      <c r="I3550" s="2" t="inlineStr">
        <is>
          <t>$</t>
        </is>
      </c>
      <c r="J3550" s="2">
        <f>HYPERLINK("https://app.astro.lead-studio.pro/product/df33dcb1-57da-4dbb-93cc-9587285a7212")</f>
      </c>
    </row>
    <row r="3551" spans="1:10" customHeight="0">
      <c r="A3551" s="2" t="inlineStr">
        <is>
          <t>Компьютеры</t>
        </is>
      </c>
      <c r="B3551" s="2" t="inlineStr">
        <is>
          <t>LENOVO</t>
        </is>
      </c>
      <c r="C3551" s="2" t="inlineStr">
        <is>
          <t>30HBS64500</t>
        </is>
      </c>
      <c r="D3551" s="2" t="inlineStr">
        <is>
          <t>ПК Lenovo ThinkStation P3 Ultra SFF i7 14700 (2.1) 16Gb SSD512Gb T400 4Gb Windows 11 Pro 64 2.5xGbitEth+1xGbitEth 300W мышь клавиатура черный (30HBS64500)</t>
        </is>
      </c>
      <c r="E3551" s="2" t="inlineStr">
        <is>
          <t>+ </t>
        </is>
      </c>
      <c r="F3551" s="2" t="inlineStr">
        <is>
          <t>+ </t>
        </is>
      </c>
      <c r="H3551" s="2">
        <v>2645</v>
      </c>
      <c r="I3551" s="2" t="inlineStr">
        <is>
          <t>$</t>
        </is>
      </c>
      <c r="J3551" s="2">
        <f>HYPERLINK("https://app.astro.lead-studio.pro/product/b239f8c5-c813-4efc-8493-fd03079a17a3")</f>
      </c>
    </row>
    <row r="3552" spans="1:10" customHeight="0">
      <c r="A3552" s="2" t="inlineStr">
        <is>
          <t>Компьютеры</t>
        </is>
      </c>
      <c r="B3552" s="2" t="inlineStr">
        <is>
          <t>LENOVO</t>
        </is>
      </c>
      <c r="C3552" s="2" t="inlineStr">
        <is>
          <t>30HBS64900</t>
        </is>
      </c>
      <c r="D3552" s="2" t="inlineStr">
        <is>
          <t>ПК Lenovo ThinkStation P3 Ultra SFF i7 14700 (2.1) 32Gb SSD1Tb RTX A2000 12Gb Windows 11 Pro 64 2.5xGbitEth+1xGbitEth 300W мышь клавиатура черный (30HBS64900)</t>
        </is>
      </c>
      <c r="E3552" s="2" t="inlineStr">
        <is>
          <t>+ </t>
        </is>
      </c>
      <c r="F3552" s="2" t="inlineStr">
        <is>
          <t>+ </t>
        </is>
      </c>
      <c r="H3552" s="2">
        <v>3545</v>
      </c>
      <c r="I3552" s="2" t="inlineStr">
        <is>
          <t>$</t>
        </is>
      </c>
      <c r="J3552" s="2">
        <f>HYPERLINK("https://app.astro.lead-studio.pro/product/41ee9f20-7c80-4fbd-b870-048a3b7fbbf5")</f>
      </c>
    </row>
    <row r="3553" spans="1:10" customHeight="0">
      <c r="A3553" s="2" t="inlineStr">
        <is>
          <t>Компьютеры</t>
        </is>
      </c>
      <c r="B3553" s="2" t="inlineStr">
        <is>
          <t>LENOVO</t>
        </is>
      </c>
      <c r="C3553" s="2" t="inlineStr">
        <is>
          <t>30HBS64300</t>
        </is>
      </c>
      <c r="D3553" s="2" t="inlineStr">
        <is>
          <t>ПК Lenovo ThinkStation P3 Ultra SFF i7 14700K (3.4) 32Gb SSD1Tb UHDG 770 Windows 11 Pro 64 2.5xGbitEth+1xGbitEth 300W мышь клавиатура черный (30HBS64300)</t>
        </is>
      </c>
      <c r="E3553" s="2" t="inlineStr">
        <is>
          <t>+ </t>
        </is>
      </c>
      <c r="F3553" s="2" t="inlineStr">
        <is>
          <t>+ </t>
        </is>
      </c>
      <c r="H3553" s="2">
        <v>2691</v>
      </c>
      <c r="I3553" s="2" t="inlineStr">
        <is>
          <t>$</t>
        </is>
      </c>
      <c r="J3553" s="2">
        <f>HYPERLINK("https://app.astro.lead-studio.pro/product/45832320-8365-4f8f-b381-f332c288cad6")</f>
      </c>
    </row>
    <row r="3554" spans="1:10" customHeight="0">
      <c r="A3554" s="2" t="inlineStr">
        <is>
          <t>Компьютеры</t>
        </is>
      </c>
      <c r="B3554" s="2" t="inlineStr">
        <is>
          <t>MSI</t>
        </is>
      </c>
      <c r="C3554" s="2" t="inlineStr">
        <is>
          <t>9S6-B0A811-264</t>
        </is>
      </c>
      <c r="D3554" s="2" t="inlineStr">
        <is>
          <t>Неттоп MSI Cubi 5 12M-012XRU i7 1255U (1.7) 16Gb SSD512Gb Iris Xe без ОС 2.5xGbitEth+1xGbitEth WiFi BT 65W черный (9S6-B0A811-264)</t>
        </is>
      </c>
      <c r="E3554" s="2" t="inlineStr">
        <is>
          <t>+++ </t>
        </is>
      </c>
      <c r="F3554" s="2" t="inlineStr">
        <is>
          <t>+++ </t>
        </is>
      </c>
      <c r="H3554" s="2">
        <v>662</v>
      </c>
      <c r="I3554" s="2" t="inlineStr">
        <is>
          <t>$</t>
        </is>
      </c>
      <c r="J3554" s="2">
        <f>HYPERLINK("https://app.astro.lead-studio.pro/product/294d05e8-ac5a-42a6-82ba-3282fed2774c")</f>
      </c>
    </row>
    <row r="3555" spans="1:10" customHeight="0">
      <c r="A3555" s="2" t="inlineStr">
        <is>
          <t>Компьютеры</t>
        </is>
      </c>
      <c r="B3555" s="2" t="inlineStr">
        <is>
          <t>MSI</t>
        </is>
      </c>
      <c r="C3555" s="2" t="inlineStr">
        <is>
          <t>9S6-B0A811-298</t>
        </is>
      </c>
      <c r="D3555" s="2" t="inlineStr">
        <is>
          <t>Неттоп MSI Cubi 5 12M-013RU i5 1235U (1.3) 16Gb SSD512Gb Iris Xe Windows 11 Pro 2.5xGbitEth+1xGbitEth WiFi BT 65W черный (9S6-B0A811-298)</t>
        </is>
      </c>
      <c r="E3555" s="2" t="inlineStr">
        <is>
          <t>+ </t>
        </is>
      </c>
      <c r="F3555" s="2" t="inlineStr">
        <is>
          <t>+ </t>
        </is>
      </c>
      <c r="H3555" s="2">
        <v>718</v>
      </c>
      <c r="I3555" s="2" t="inlineStr">
        <is>
          <t>$</t>
        </is>
      </c>
      <c r="J3555" s="2">
        <f>HYPERLINK("https://app.astro.lead-studio.pro/product/961acd44-b4d1-4d95-b04a-74827293ef99")</f>
      </c>
    </row>
    <row r="3556" spans="1:10" customHeight="0">
      <c r="A3556" s="2" t="inlineStr">
        <is>
          <t>Компьютеры</t>
        </is>
      </c>
      <c r="B3556" s="2" t="inlineStr">
        <is>
          <t>MSI</t>
        </is>
      </c>
      <c r="C3556" s="2" t="inlineStr">
        <is>
          <t>9S6-B0A811-222</t>
        </is>
      </c>
      <c r="D3556" s="2" t="inlineStr">
        <is>
          <t>Неттоп MSI Cubi 5 12M-014XRU i5 1235U (1.3) 16Gb SSD512Gb Iris Xe без ОС 2xGbitEth WiFi BT 65W черный (9S6-B0A811-222)</t>
        </is>
      </c>
      <c r="E3556" s="2" t="inlineStr">
        <is>
          <t>+ </t>
        </is>
      </c>
      <c r="F3556" s="2" t="inlineStr">
        <is>
          <t>+ </t>
        </is>
      </c>
      <c r="H3556" s="2">
        <v>573</v>
      </c>
      <c r="I3556" s="2" t="inlineStr">
        <is>
          <t>$</t>
        </is>
      </c>
      <c r="J3556" s="2">
        <f>HYPERLINK("https://app.astro.lead-studio.pro/product/815ed429-bd02-4bbf-aa83-a878c95d0f4d")</f>
      </c>
    </row>
    <row r="3557" spans="1:10" customHeight="0">
      <c r="A3557" s="2" t="inlineStr">
        <is>
          <t>Компьютеры</t>
        </is>
      </c>
      <c r="B3557" s="2" t="inlineStr">
        <is>
          <t>MSI</t>
        </is>
      </c>
      <c r="C3557" s="2" t="inlineStr">
        <is>
          <t>936-B0A812-218</t>
        </is>
      </c>
      <c r="D3557" s="2" t="inlineStr">
        <is>
          <t>Неттоп MSI Cubi 5 12M-031BRU i5 1235U (1.3) Iris Xe без ОС 2.5xGbitEth+1xGbitEth WiFi BT 65W белый (936-B0A812-218)</t>
        </is>
      </c>
      <c r="E3557" s="2" t="inlineStr">
        <is>
          <t>+++ </t>
        </is>
      </c>
      <c r="F3557" s="2" t="inlineStr">
        <is>
          <t>+++ </t>
        </is>
      </c>
      <c r="H3557" s="2">
        <v>432</v>
      </c>
      <c r="I3557" s="2" t="inlineStr">
        <is>
          <t>$</t>
        </is>
      </c>
      <c r="J3557" s="2">
        <f>HYPERLINK("https://app.astro.lead-studio.pro/product/377e81b3-5a66-4e40-8b04-07c8d1b1a403")</f>
      </c>
    </row>
    <row r="3558" spans="1:10" customHeight="0">
      <c r="A3558" s="2" t="inlineStr">
        <is>
          <t>Компьютеры</t>
        </is>
      </c>
      <c r="B3558" s="2" t="inlineStr">
        <is>
          <t>MSI</t>
        </is>
      </c>
      <c r="C3558" s="2" t="inlineStr">
        <is>
          <t>936-B0A812-219</t>
        </is>
      </c>
      <c r="D3558" s="2" t="inlineStr">
        <is>
          <t>Неттоп MSI Cubi 5 12M-032BRU i3 1215U (1.2) UHDG без ОС 2.5xGbitEth+1xGbitEth WiFi BT 65W белый (936-B0A812-219)</t>
        </is>
      </c>
      <c r="E3558" s="2" t="inlineStr">
        <is>
          <t>++ </t>
        </is>
      </c>
      <c r="F3558" s="2" t="inlineStr">
        <is>
          <t>++ </t>
        </is>
      </c>
      <c r="H3558" s="2">
        <v>343</v>
      </c>
      <c r="I3558" s="2" t="inlineStr">
        <is>
          <t>$</t>
        </is>
      </c>
      <c r="J3558" s="2">
        <f>HYPERLINK("https://app.astro.lead-studio.pro/product/66ccf19a-f913-4071-b5ed-86d819961aa8")</f>
      </c>
    </row>
    <row r="3559" spans="1:10" customHeight="0">
      <c r="A3559" s="2" t="inlineStr">
        <is>
          <t>Компьютеры</t>
        </is>
      </c>
      <c r="B3559" s="2" t="inlineStr">
        <is>
          <t>MSI</t>
        </is>
      </c>
      <c r="C3559" s="2" t="inlineStr">
        <is>
          <t>9S6-B0A811-234</t>
        </is>
      </c>
      <c r="D3559" s="2" t="inlineStr">
        <is>
          <t>Неттоп MSI Cubi 5 12M-032XRU i3 1215U (1.2) 8Gb SSD256Gb UHDG без ОС 2.5xGbitEth+1xGbitEth WiFi BT 65W черный (9S6-B0A811-234)</t>
        </is>
      </c>
      <c r="E3559" s="2" t="inlineStr">
        <is>
          <t>+ </t>
        </is>
      </c>
      <c r="F3559" s="2" t="inlineStr">
        <is>
          <t>+ </t>
        </is>
      </c>
      <c r="H3559" s="2">
        <v>391</v>
      </c>
      <c r="I3559" s="2" t="inlineStr">
        <is>
          <t>$</t>
        </is>
      </c>
      <c r="J3559" s="2">
        <f>HYPERLINK("https://app.astro.lead-studio.pro/product/626a18b6-7053-431a-b095-cc2b8e818445")</f>
      </c>
    </row>
    <row r="3560" spans="1:10" customHeight="0">
      <c r="A3560" s="2" t="inlineStr">
        <is>
          <t>Компьютеры</t>
        </is>
      </c>
      <c r="B3560" s="2" t="inlineStr">
        <is>
          <t>MSI</t>
        </is>
      </c>
      <c r="C3560" s="2" t="inlineStr">
        <is>
          <t>9S6-B0A812-263</t>
        </is>
      </c>
      <c r="D3560" s="2" t="inlineStr">
        <is>
          <t>Неттоп MSI Cubi 5 12M-043XRU i7 1255U (1.7) 16Gb SSD512Gb Iris Xe без ОС 2.5xGbitEth+1xGbitEth WiFi BT 65W белый (9S6-B0A812-263)</t>
        </is>
      </c>
      <c r="E3560" s="2" t="inlineStr">
        <is>
          <t>+++ </t>
        </is>
      </c>
      <c r="F3560" s="2" t="inlineStr">
        <is>
          <t>+++ </t>
        </is>
      </c>
      <c r="H3560" s="2">
        <v>675</v>
      </c>
      <c r="I3560" s="2" t="inlineStr">
        <is>
          <t>$</t>
        </is>
      </c>
      <c r="J3560" s="2">
        <f>HYPERLINK("https://app.astro.lead-studio.pro/product/35fb85d2-014b-4f55-b655-43f03a62cde9")</f>
      </c>
    </row>
    <row r="3561" spans="1:10" customHeight="0">
      <c r="A3561" s="2" t="inlineStr">
        <is>
          <t>Компьютеры</t>
        </is>
      </c>
      <c r="B3561" s="2" t="inlineStr">
        <is>
          <t>MSI</t>
        </is>
      </c>
      <c r="C3561" s="2" t="inlineStr">
        <is>
          <t>9S6-B0A812-221</t>
        </is>
      </c>
      <c r="D3561" s="2" t="inlineStr">
        <is>
          <t>Неттоп MSI Cubi 5 12M-046XRU i3 1215U (1.2) 8Gb SSD512Gb UHDG без ОС 2xGbitEth WiFi BT 65W белый (9S6-B0A812-221)</t>
        </is>
      </c>
      <c r="E3561" s="2" t="inlineStr">
        <is>
          <t>++ </t>
        </is>
      </c>
      <c r="F3561" s="2" t="inlineStr">
        <is>
          <t>++ </t>
        </is>
      </c>
      <c r="H3561" s="2">
        <v>411</v>
      </c>
      <c r="I3561" s="2" t="inlineStr">
        <is>
          <t>$</t>
        </is>
      </c>
      <c r="J3561" s="2">
        <f>HYPERLINK("https://app.astro.lead-studio.pro/product/7df385b3-b902-4f11-9c27-a117d697553f")</f>
      </c>
    </row>
    <row r="3562" spans="1:10" customHeight="0">
      <c r="A3562" s="2" t="inlineStr">
        <is>
          <t>Компьютеры</t>
        </is>
      </c>
      <c r="B3562" s="2" t="inlineStr">
        <is>
          <t>MSI</t>
        </is>
      </c>
      <c r="C3562" s="2" t="inlineStr">
        <is>
          <t>9S6-B0A812-297</t>
        </is>
      </c>
      <c r="D3562" s="2" t="inlineStr">
        <is>
          <t>Неттоп MSI Cubi 5 12M-047XRU i3 1215U (1.2) 8Gb SSD256Gb UHDG без ОС 2.5xGbitEth+1xGbitEth WiFi BT 65W белый (9S6-B0A812-297)</t>
        </is>
      </c>
      <c r="E3562" s="2" t="inlineStr">
        <is>
          <t>++ </t>
        </is>
      </c>
      <c r="F3562" s="2" t="inlineStr">
        <is>
          <t>++ </t>
        </is>
      </c>
      <c r="H3562" s="2">
        <v>394</v>
      </c>
      <c r="I3562" s="2" t="inlineStr">
        <is>
          <t>$</t>
        </is>
      </c>
      <c r="J3562" s="2">
        <f>HYPERLINK("https://app.astro.lead-studio.pro/product/9ca93ad1-8eaf-4dbd-af33-4849f64042f1")</f>
      </c>
    </row>
    <row r="3563" spans="1:10" customHeight="0">
      <c r="A3563" s="2" t="inlineStr">
        <is>
          <t>Компьютеры</t>
        </is>
      </c>
      <c r="B3563" s="2" t="inlineStr">
        <is>
          <t>MSI</t>
        </is>
      </c>
      <c r="C3563" s="2" t="inlineStr">
        <is>
          <t>936-B0A811-067</t>
        </is>
      </c>
      <c r="D3563" s="2" t="inlineStr">
        <is>
          <t>Неттоп MSI Cubi 5 12M-067BRU i5 1235U (1.3) Iris Xe без ОС 2.5xGbitEth+1xGbitEth WiFi BT 65W черный (936-B0A811-067)</t>
        </is>
      </c>
      <c r="E3563" s="2" t="inlineStr">
        <is>
          <t>+++ </t>
        </is>
      </c>
      <c r="F3563" s="2" t="inlineStr">
        <is>
          <t>+++ </t>
        </is>
      </c>
      <c r="H3563" s="2">
        <v>441</v>
      </c>
      <c r="I3563" s="2" t="inlineStr">
        <is>
          <t>$</t>
        </is>
      </c>
      <c r="J3563" s="2">
        <f>HYPERLINK("https://app.astro.lead-studio.pro/product/8a215cef-b37b-42d1-b923-778605056290")</f>
      </c>
    </row>
    <row r="3564" spans="1:10" customHeight="0">
      <c r="A3564" s="2" t="inlineStr">
        <is>
          <t>Компьютеры</t>
        </is>
      </c>
      <c r="B3564" s="2" t="inlineStr">
        <is>
          <t>MSI</t>
        </is>
      </c>
      <c r="C3564" s="2" t="inlineStr">
        <is>
          <t>936-B0A811-068</t>
        </is>
      </c>
      <c r="D3564" s="2" t="inlineStr">
        <is>
          <t>Неттоп MSI Cubi 5 12M-068BRU i3 1215U (1.2) UHDG без ОС 2xGbitEth WiFi BT 65W черный (936-B0A811-068)</t>
        </is>
      </c>
      <c r="E3564" s="2" t="inlineStr">
        <is>
          <t>++ </t>
        </is>
      </c>
      <c r="F3564" s="2" t="inlineStr">
        <is>
          <t>++ </t>
        </is>
      </c>
      <c r="H3564" s="2">
        <v>342</v>
      </c>
      <c r="I3564" s="2" t="inlineStr">
        <is>
          <t>$</t>
        </is>
      </c>
      <c r="J3564" s="2">
        <f>HYPERLINK("https://app.astro.lead-studio.pro/product/72f33643-d604-4410-9054-d737f46ef5b6")</f>
      </c>
    </row>
    <row r="3565" spans="1:10" customHeight="0">
      <c r="A3565" s="2" t="inlineStr">
        <is>
          <t>Компьютеры</t>
        </is>
      </c>
      <c r="B3565" s="2" t="inlineStr">
        <is>
          <t>MSI</t>
        </is>
      </c>
      <c r="C3565" s="2" t="inlineStr">
        <is>
          <t>9S6-B0A812-096</t>
        </is>
      </c>
      <c r="D3565" s="2" t="inlineStr">
        <is>
          <t>Неттоп MSI Cubi 5 12M-096RU i5 1235U (1.3) 16Gb SSD512Gb Iris Xe Windows 11 Pro 2xGbitEth WiFi BT 65W белый (9S6-B0A812-096)</t>
        </is>
      </c>
      <c r="E3565" s="2" t="inlineStr">
        <is>
          <t>+ </t>
        </is>
      </c>
      <c r="F3565" s="2" t="inlineStr">
        <is>
          <t>+ </t>
        </is>
      </c>
      <c r="H3565" s="2">
        <v>715</v>
      </c>
      <c r="I3565" s="2" t="inlineStr">
        <is>
          <t>$</t>
        </is>
      </c>
      <c r="J3565" s="2">
        <f>HYPERLINK("https://app.astro.lead-studio.pro/product/d136adf3-8bef-4776-a85e-3ab9a70381f0")</f>
      </c>
    </row>
    <row r="3566" spans="1:10" customHeight="0">
      <c r="A3566" s="2" t="inlineStr">
        <is>
          <t>Компьютеры</t>
        </is>
      </c>
      <c r="B3566" s="2" t="inlineStr">
        <is>
          <t>MSI</t>
        </is>
      </c>
      <c r="C3566" s="2" t="inlineStr">
        <is>
          <t>9S6-B0A812-097</t>
        </is>
      </c>
      <c r="D3566" s="2" t="inlineStr">
        <is>
          <t>Неттоп MSI Cubi 5 12M-097XRU i5 1235U (1.3) 16Gb SSD512Gb Iris Xe без ОС 2xGbitEth WiFi BT 65W белый (9S6-B0A812-097)</t>
        </is>
      </c>
      <c r="E3566" s="2" t="inlineStr">
        <is>
          <t>++ </t>
        </is>
      </c>
      <c r="F3566" s="2" t="inlineStr">
        <is>
          <t>++ </t>
        </is>
      </c>
      <c r="H3566" s="2">
        <v>558</v>
      </c>
      <c r="I3566" s="2" t="inlineStr">
        <is>
          <t>$</t>
        </is>
      </c>
      <c r="J3566" s="2">
        <f>HYPERLINK("https://app.astro.lead-studio.pro/product/72176f0b-35f1-44b1-ad84-a3fd90961268")</f>
      </c>
    </row>
    <row r="3567" spans="1:10" customHeight="0">
      <c r="A3567" s="2" t="inlineStr">
        <is>
          <t>Компьютеры</t>
        </is>
      </c>
      <c r="B3567" s="2" t="inlineStr">
        <is>
          <t>MSI</t>
        </is>
      </c>
      <c r="C3567" s="2" t="inlineStr">
        <is>
          <t>9S6-B0A911-211</t>
        </is>
      </c>
      <c r="D3567" s="2" t="inlineStr">
        <is>
          <t>Неттоп MSI Cubi N ADL-018RU N200 (1) 4Gb SSD128Gb UHDG Windows 11 Pro 2xGbitEth WiFi BT 65W черный (9S6-B0A911-211)</t>
        </is>
      </c>
      <c r="E3567" s="2" t="inlineStr">
        <is>
          <t>+++ </t>
        </is>
      </c>
      <c r="F3567" s="2" t="inlineStr">
        <is>
          <t>+++ </t>
        </is>
      </c>
      <c r="H3567" s="2">
        <v>338</v>
      </c>
      <c r="I3567" s="2" t="inlineStr">
        <is>
          <t>$</t>
        </is>
      </c>
      <c r="J3567" s="2">
        <f>HYPERLINK("https://app.astro.lead-studio.pro/product/ab22fcec-3420-4a68-899e-30f22d11e650")</f>
      </c>
    </row>
    <row r="3568" spans="1:10" customHeight="0">
      <c r="A3568" s="2" t="inlineStr">
        <is>
          <t>Компьютеры</t>
        </is>
      </c>
      <c r="B3568" s="2" t="inlineStr">
        <is>
          <t>MSI</t>
        </is>
      </c>
      <c r="C3568" s="2" t="inlineStr">
        <is>
          <t>9S6-B0A911-099</t>
        </is>
      </c>
      <c r="D3568" s="2" t="inlineStr">
        <is>
          <t>Неттоп MSI Cubi N ADL-030XRU N200 (1) 8Gb SSD256Gb UHDG без ОС 2xGbitEth WiFi BT 65W черный (9S6-B0A911-099)</t>
        </is>
      </c>
      <c r="E3568" s="2" t="inlineStr">
        <is>
          <t>+++ </t>
        </is>
      </c>
      <c r="F3568" s="2" t="inlineStr">
        <is>
          <t>+++ </t>
        </is>
      </c>
      <c r="H3568" s="2">
        <v>337</v>
      </c>
      <c r="I3568" s="2" t="inlineStr">
        <is>
          <t>$</t>
        </is>
      </c>
      <c r="J3568" s="2">
        <f>HYPERLINK("https://app.astro.lead-studio.pro/product/280378b6-23e0-4276-9f4f-9d1e480fedc8")</f>
      </c>
    </row>
    <row r="3569" spans="1:10" customHeight="0">
      <c r="A3569" s="2" t="inlineStr">
        <is>
          <t>Компьютеры</t>
        </is>
      </c>
      <c r="B3569" s="2" t="inlineStr">
        <is>
          <t>MSI</t>
        </is>
      </c>
      <c r="C3569" s="2" t="inlineStr">
        <is>
          <t>9S6-B0B111-089</t>
        </is>
      </c>
      <c r="D3569" s="2" t="inlineStr">
        <is>
          <t>Неттоп MSI Cubi NUC 1M-043XRU Core 7 150U (1.8) 16Gb SSD512Gb Graphics CR без ОС 2xGbitEth WiFi BT 120W черный (9S6-B0B111-089)</t>
        </is>
      </c>
      <c r="E3569" s="2" t="inlineStr">
        <is>
          <t>+ </t>
        </is>
      </c>
      <c r="F3569" s="2" t="inlineStr">
        <is>
          <t>+ </t>
        </is>
      </c>
      <c r="H3569" s="2">
        <v>710</v>
      </c>
      <c r="I3569" s="2" t="inlineStr">
        <is>
          <t>$</t>
        </is>
      </c>
      <c r="J3569" s="2">
        <f>HYPERLINK("https://app.astro.lead-studio.pro/product/dce6b35b-e480-4206-8724-631a7f53e893")</f>
      </c>
    </row>
    <row r="3570" spans="1:10" customHeight="0">
      <c r="A3570" s="2" t="inlineStr">
        <is>
          <t>Компьютеры</t>
        </is>
      </c>
      <c r="B3570" s="2" t="inlineStr">
        <is>
          <t>MSI</t>
        </is>
      </c>
      <c r="C3570" s="2" t="inlineStr">
        <is>
          <t>936-B0B111-052</t>
        </is>
      </c>
      <c r="D3570" s="2" t="inlineStr">
        <is>
          <t>Неттоп MSI Cubi NUC 1M-052BRU Core 5 120U (1.4) Graphics CR без ОС 2xGbitEth WiFi BT 120W черный (936-B0B111-052)</t>
        </is>
      </c>
      <c r="E3570" s="2" t="inlineStr">
        <is>
          <t>+ </t>
        </is>
      </c>
      <c r="F3570" s="2" t="inlineStr">
        <is>
          <t>+ </t>
        </is>
      </c>
      <c r="H3570" s="2">
        <v>507</v>
      </c>
      <c r="I3570" s="2" t="inlineStr">
        <is>
          <t>$</t>
        </is>
      </c>
      <c r="J3570" s="2">
        <f>HYPERLINK("https://app.astro.lead-studio.pro/product/970aeb6b-af8b-4c16-88c8-497c882724f8")</f>
      </c>
    </row>
    <row r="3571" spans="1:10" customHeight="0">
      <c r="A3571" s="2" t="inlineStr">
        <is>
          <t>Компьютеры</t>
        </is>
      </c>
      <c r="B3571" s="2" t="inlineStr">
        <is>
          <t>MSI</t>
        </is>
      </c>
      <c r="C3571" s="2" t="inlineStr">
        <is>
          <t>936-B0B111-080</t>
        </is>
      </c>
      <c r="D3571" s="2" t="inlineStr">
        <is>
          <t>Неттоп MSI Cubi NUC 1M-052BRU Core 5 120U (1.4) Graphics CR без ОС 2xGbitEth WiFi BT 120W черный (936-B0B111-080)</t>
        </is>
      </c>
      <c r="E3571" s="2" t="inlineStr">
        <is>
          <t>++ </t>
        </is>
      </c>
      <c r="F3571" s="2" t="inlineStr">
        <is>
          <t>++ </t>
        </is>
      </c>
      <c r="H3571" s="2">
        <v>506</v>
      </c>
      <c r="I3571" s="2" t="inlineStr">
        <is>
          <t>$</t>
        </is>
      </c>
      <c r="J3571" s="2">
        <f>HYPERLINK("https://app.astro.lead-studio.pro/product/03fc9d4b-57dd-4dab-827b-6a97c084fb0c")</f>
      </c>
    </row>
    <row r="3572" spans="1:10" customHeight="0">
      <c r="A3572" s="2" t="inlineStr">
        <is>
          <t>Компьютеры</t>
        </is>
      </c>
      <c r="B3572" s="2" t="inlineStr">
        <is>
          <t>MSI</t>
        </is>
      </c>
      <c r="C3572" s="2" t="inlineStr">
        <is>
          <t>936-B0B111-053</t>
        </is>
      </c>
      <c r="D3572" s="2" t="inlineStr">
        <is>
          <t>Неттоп MSI Cubi NUC 1M-053BRU Core 3 100U (1.2) Graphics CR без ОС 2xGbitEth WiFi BT 120W черный (936-B0B111-053)</t>
        </is>
      </c>
      <c r="E3572" s="2" t="inlineStr">
        <is>
          <t>++ </t>
        </is>
      </c>
      <c r="F3572" s="2" t="inlineStr">
        <is>
          <t>++ </t>
        </is>
      </c>
      <c r="H3572" s="2">
        <v>361</v>
      </c>
      <c r="I3572" s="2" t="inlineStr">
        <is>
          <t>$</t>
        </is>
      </c>
      <c r="J3572" s="2">
        <f>HYPERLINK("https://app.astro.lead-studio.pro/product/ff90bf76-7cd1-463b-b411-1ceefc539309")</f>
      </c>
    </row>
    <row r="3573" spans="1:10" customHeight="0">
      <c r="A3573" s="2" t="inlineStr">
        <is>
          <t>Компьютеры</t>
        </is>
      </c>
      <c r="B3573" s="2" t="inlineStr">
        <is>
          <t>MSI</t>
        </is>
      </c>
      <c r="C3573" s="2" t="inlineStr">
        <is>
          <t>936-B0B111-081</t>
        </is>
      </c>
      <c r="D3573" s="2" t="inlineStr">
        <is>
          <t>Неттоп MSI Cubi NUC 1M-053BRU Core 3 100U (1.2) Graphics CR без ОС 2xGbitEth WiFi BT 120W черный (936-B0B111-081)</t>
        </is>
      </c>
      <c r="E3573" s="2" t="inlineStr">
        <is>
          <t>++ </t>
        </is>
      </c>
      <c r="F3573" s="2" t="inlineStr">
        <is>
          <t>++ </t>
        </is>
      </c>
      <c r="H3573" s="2">
        <v>381</v>
      </c>
      <c r="I3573" s="2" t="inlineStr">
        <is>
          <t>$</t>
        </is>
      </c>
      <c r="J3573" s="2">
        <f>HYPERLINK("https://app.astro.lead-studio.pro/product/428b34e8-1d98-4642-80d2-259fc7a92bf3")</f>
      </c>
    </row>
    <row r="3574" spans="1:10" customHeight="0">
      <c r="A3574" s="2" t="inlineStr">
        <is>
          <t>Компьютеры</t>
        </is>
      </c>
      <c r="B3574" s="2" t="inlineStr">
        <is>
          <t>MSI</t>
        </is>
      </c>
      <c r="C3574" s="2" t="inlineStr">
        <is>
          <t>936-B0A621-031</t>
        </is>
      </c>
      <c r="D3574" s="2" t="inlineStr">
        <is>
          <t>Неттоп MSI Pro DP10 12M-031BRU i5 1235U (1.3) Iris Xe без ОС 2.5xGbitEth WiFi BT 120W черный (936-B0A621-031)</t>
        </is>
      </c>
      <c r="E3574" s="2" t="inlineStr">
        <is>
          <t>++ </t>
        </is>
      </c>
      <c r="F3574" s="2" t="inlineStr">
        <is>
          <t>++ </t>
        </is>
      </c>
      <c r="H3574" s="2">
        <v>421</v>
      </c>
      <c r="I3574" s="2" t="inlineStr">
        <is>
          <t>$</t>
        </is>
      </c>
      <c r="J3574" s="2">
        <f>HYPERLINK("https://app.astro.lead-studio.pro/product/e3121859-2cc7-4aa2-98b8-5c4d90fcffac")</f>
      </c>
    </row>
    <row r="3575" spans="1:10" customHeight="0">
      <c r="A3575" s="2" t="inlineStr">
        <is>
          <t>Компьютеры</t>
        </is>
      </c>
      <c r="B3575" s="2" t="inlineStr">
        <is>
          <t>MSI</t>
        </is>
      </c>
      <c r="C3575" s="2" t="inlineStr">
        <is>
          <t>936-B0A621-032</t>
        </is>
      </c>
      <c r="D3575" s="2" t="inlineStr">
        <is>
          <t>Неттоп MSI Pro DP10 12M-032BRU i3 1215U (1.2) UHDG без ОС 2.5xGbitEth WiFi BT 120W черный (936-B0A621-032)</t>
        </is>
      </c>
      <c r="E3575" s="2" t="inlineStr">
        <is>
          <t>++ </t>
        </is>
      </c>
      <c r="F3575" s="2" t="inlineStr">
        <is>
          <t>++ </t>
        </is>
      </c>
      <c r="H3575" s="2">
        <v>352</v>
      </c>
      <c r="I3575" s="2" t="inlineStr">
        <is>
          <t>$</t>
        </is>
      </c>
      <c r="J3575" s="2">
        <f>HYPERLINK("https://app.astro.lead-studio.pro/product/c3770575-65e5-498e-92a1-4a8451b3dbc4")</f>
      </c>
    </row>
    <row r="3576" spans="1:10" customHeight="0">
      <c r="A3576" s="2" t="inlineStr">
        <is>
          <t>Компьютеры</t>
        </is>
      </c>
      <c r="B3576" s="2" t="inlineStr">
        <is>
          <t>MSI</t>
        </is>
      </c>
      <c r="C3576" s="2" t="inlineStr">
        <is>
          <t>936-B0A622-039</t>
        </is>
      </c>
      <c r="D3576" s="2" t="inlineStr">
        <is>
          <t>Неттоп MSI Pro DP10 12M-039BRU i5 1235U (1.3) Iris Xe без ОС 2.5xGbitEth WiFi BT 120W белый (936-B0A622-039)</t>
        </is>
      </c>
      <c r="E3576" s="2" t="inlineStr">
        <is>
          <t>+++ </t>
        </is>
      </c>
      <c r="F3576" s="2" t="inlineStr">
        <is>
          <t>+++ </t>
        </is>
      </c>
      <c r="H3576" s="2">
        <v>424</v>
      </c>
      <c r="I3576" s="2" t="inlineStr">
        <is>
          <t>$</t>
        </is>
      </c>
      <c r="J3576" s="2">
        <f>HYPERLINK("https://app.astro.lead-studio.pro/product/510f3b0a-3006-4396-bc9c-6381090e0c9d")</f>
      </c>
    </row>
    <row r="3577" spans="1:10" customHeight="0">
      <c r="A3577" s="2" t="inlineStr">
        <is>
          <t>Компьютеры</t>
        </is>
      </c>
      <c r="B3577" s="2" t="inlineStr">
        <is>
          <t>MSI</t>
        </is>
      </c>
      <c r="C3577" s="2" t="inlineStr">
        <is>
          <t>936-B0A622-040</t>
        </is>
      </c>
      <c r="D3577" s="2" t="inlineStr">
        <is>
          <t>Неттоп MSI Pro DP10 12M-040BRU i3 1215U (1.2) UHDG без ОС 2.5xGbitEth WiFi BT 120W белый (936-B0A622-040)</t>
        </is>
      </c>
      <c r="E3577" s="2" t="inlineStr">
        <is>
          <t>+++ </t>
        </is>
      </c>
      <c r="F3577" s="2" t="inlineStr">
        <is>
          <t>+++ </t>
        </is>
      </c>
      <c r="H3577" s="2">
        <v>354</v>
      </c>
      <c r="I3577" s="2" t="inlineStr">
        <is>
          <t>$</t>
        </is>
      </c>
      <c r="J3577" s="2">
        <f>HYPERLINK("https://app.astro.lead-studio.pro/product/6b10a348-ed65-4be3-881b-f128c8b88a52")</f>
      </c>
    </row>
    <row r="3578" spans="1:10" customHeight="0">
      <c r="A3578" s="2" t="inlineStr">
        <is>
          <t>Компьютеры</t>
        </is>
      </c>
      <c r="B3578" s="2" t="inlineStr">
        <is>
          <t>MSI</t>
        </is>
      </c>
      <c r="C3578" s="2" t="inlineStr">
        <is>
          <t>9S6-B0A621-203</t>
        </is>
      </c>
      <c r="D3578" s="2" t="inlineStr">
        <is>
          <t>Неттоп MSI Pro DP10 12M-203RU i5 1235U (1.3) 16Gb SSD512Gb Iris Xe Windows 11 Pro 2.5xGbitEth WiFi BT 120W черный (9S6-B0A621-203)</t>
        </is>
      </c>
      <c r="E3578" s="2" t="inlineStr">
        <is>
          <t>+ </t>
        </is>
      </c>
      <c r="F3578" s="2" t="inlineStr">
        <is>
          <t>+ </t>
        </is>
      </c>
      <c r="H3578" s="2">
        <v>719</v>
      </c>
      <c r="I3578" s="2" t="inlineStr">
        <is>
          <t>$</t>
        </is>
      </c>
      <c r="J3578" s="2">
        <f>HYPERLINK("https://app.astro.lead-studio.pro/product/f0c06fe1-8f7d-4f2a-97da-1c57968232bd")</f>
      </c>
    </row>
    <row r="3579" spans="1:10" customHeight="0">
      <c r="A3579" s="2" t="inlineStr">
        <is>
          <t>Компьютеры</t>
        </is>
      </c>
      <c r="B3579" s="2" t="inlineStr">
        <is>
          <t>MSI</t>
        </is>
      </c>
      <c r="C3579" s="2" t="inlineStr">
        <is>
          <t>9S6-B0A621-219</t>
        </is>
      </c>
      <c r="D3579" s="2" t="inlineStr">
        <is>
          <t>Неттоп MSI Pro DP10 12M-219XRU i7 1255U (1.7) 16Gb SSD1Tb Iris Xe без ОС 2.5xGbitEth WiFi BT 120W черный (9S6-B0A621-219)</t>
        </is>
      </c>
      <c r="E3579" s="2" t="inlineStr">
        <is>
          <t>+ </t>
        </is>
      </c>
      <c r="F3579" s="2" t="inlineStr">
        <is>
          <t>+ </t>
        </is>
      </c>
      <c r="H3579" s="2">
        <v>649</v>
      </c>
      <c r="I3579" s="2" t="inlineStr">
        <is>
          <t>$</t>
        </is>
      </c>
      <c r="J3579" s="2">
        <f>HYPERLINK("https://app.astro.lead-studio.pro/product/b33a8957-7426-4a2c-a264-d7a539144d5a")</f>
      </c>
    </row>
    <row r="3580" spans="1:10" customHeight="0">
      <c r="A3580" s="2" t="inlineStr">
        <is>
          <t>Компьютеры</t>
        </is>
      </c>
      <c r="B3580" s="2" t="inlineStr">
        <is>
          <t>MSI</t>
        </is>
      </c>
      <c r="C3580" s="2" t="inlineStr">
        <is>
          <t>9S6-B0A622-220</t>
        </is>
      </c>
      <c r="D3580" s="2" t="inlineStr">
        <is>
          <t>Неттоп MSI Pro DP10 12M-220XRU i7 1255U (1.7) 16Gb SSD1Tb Iris Xe без ОС 2.5xGbitEth WiFi BT 120W белый (9S6-B0A622-220)</t>
        </is>
      </c>
      <c r="E3580" s="2" t="inlineStr">
        <is>
          <t>+++ </t>
        </is>
      </c>
      <c r="F3580" s="2" t="inlineStr">
        <is>
          <t>+++ </t>
        </is>
      </c>
      <c r="H3580" s="2">
        <v>672</v>
      </c>
      <c r="I3580" s="2" t="inlineStr">
        <is>
          <t>$</t>
        </is>
      </c>
      <c r="J3580" s="2">
        <f>HYPERLINK("https://app.astro.lead-studio.pro/product/bced6122-2cf5-49a1-bccf-53e51a173875")</f>
      </c>
    </row>
    <row r="3581" spans="1:10" customHeight="0">
      <c r="A3581" s="2" t="inlineStr">
        <is>
          <t>Компьютеры</t>
        </is>
      </c>
      <c r="B3581" s="2" t="inlineStr">
        <is>
          <t>MSI</t>
        </is>
      </c>
      <c r="C3581" s="2" t="inlineStr">
        <is>
          <t>9S6-B0A622-221</t>
        </is>
      </c>
      <c r="D3581" s="2" t="inlineStr">
        <is>
          <t>Неттоп MSI Pro DP10 12M-221RU i5 1235U (1.3) 16Gb SSD512Gb Iris Xe Windows 11 Pro 2.5xGbitEth WiFi BT 120W белый (9S6-B0A622-221)</t>
        </is>
      </c>
      <c r="E3581" s="2" t="inlineStr">
        <is>
          <t>++ </t>
        </is>
      </c>
      <c r="F3581" s="2" t="inlineStr">
        <is>
          <t>++ </t>
        </is>
      </c>
      <c r="H3581" s="2">
        <v>706</v>
      </c>
      <c r="I3581" s="2" t="inlineStr">
        <is>
          <t>$</t>
        </is>
      </c>
      <c r="J3581" s="2">
        <f>HYPERLINK("https://app.astro.lead-studio.pro/product/12738992-45dc-4294-b997-19530296469b")</f>
      </c>
    </row>
    <row r="3582" spans="1:10" customHeight="0">
      <c r="A3582" s="2" t="inlineStr">
        <is>
          <t>Компьютеры</t>
        </is>
      </c>
      <c r="B3582" s="2" t="inlineStr">
        <is>
          <t>MSI</t>
        </is>
      </c>
      <c r="C3582" s="2" t="inlineStr">
        <is>
          <t>9S6-B0A621-226</t>
        </is>
      </c>
      <c r="D3582" s="2" t="inlineStr">
        <is>
          <t>Неттоп MSI Pro DP10 12M-226XRU i5 1235U (1.3) 16Gb SSD512Gb Iris Xe без ОС 2.5xGbitEth WiFi BT 120W черный (9S6-B0A621-226)</t>
        </is>
      </c>
      <c r="E3582" s="2" t="inlineStr">
        <is>
          <t>+ </t>
        </is>
      </c>
      <c r="F3582" s="2" t="inlineStr">
        <is>
          <t>+ </t>
        </is>
      </c>
      <c r="H3582" s="2">
        <v>531</v>
      </c>
      <c r="I3582" s="2" t="inlineStr">
        <is>
          <t>$</t>
        </is>
      </c>
      <c r="J3582" s="2">
        <f>HYPERLINK("https://app.astro.lead-studio.pro/product/8e6c70bd-eeab-41a5-a302-f2cbdda72d2f")</f>
      </c>
    </row>
    <row r="3583" spans="1:10" customHeight="0">
      <c r="A3583" s="2" t="inlineStr">
        <is>
          <t>Компьютеры</t>
        </is>
      </c>
      <c r="B3583" s="2" t="inlineStr">
        <is>
          <t>MSI</t>
        </is>
      </c>
      <c r="C3583" s="2" t="inlineStr">
        <is>
          <t>9S6-B0A622-227</t>
        </is>
      </c>
      <c r="D3583" s="2" t="inlineStr">
        <is>
          <t>Неттоп MSI Pro DP10 12M-227XRU i5 1235U (1.3) 16Gb SSD512Gb Iris Xe без ОС 2.5xGbitEth WiFi BT 120W белый (9S6-B0A622-227)</t>
        </is>
      </c>
      <c r="E3583" s="2" t="inlineStr">
        <is>
          <t>+ </t>
        </is>
      </c>
      <c r="F3583" s="2" t="inlineStr">
        <is>
          <t>+ </t>
        </is>
      </c>
      <c r="H3583" s="2">
        <v>527</v>
      </c>
      <c r="I3583" s="2" t="inlineStr">
        <is>
          <t>$</t>
        </is>
      </c>
      <c r="J3583" s="2">
        <f>HYPERLINK("https://app.astro.lead-studio.pro/product/4fd9a406-99f4-4d9b-8b26-f3097130a15b")</f>
      </c>
    </row>
    <row r="3584" spans="1:10" customHeight="0">
      <c r="A3584" s="2" t="inlineStr">
        <is>
          <t>Компьютеры</t>
        </is>
      </c>
      <c r="B3584" s="2" t="inlineStr">
        <is>
          <t>MSI</t>
        </is>
      </c>
      <c r="C3584" s="2" t="inlineStr">
        <is>
          <t>9S6-B0A622-230</t>
        </is>
      </c>
      <c r="D3584" s="2" t="inlineStr">
        <is>
          <t>Неттоп MSI Pro DP10 12M-230XRU i3 1215U (1.2) 16Gb SSD512Gb UHDG без ОС 2.5xGbitEth WiFi BT 120W белый (9S6-B0A622-230)</t>
        </is>
      </c>
      <c r="E3584" s="2" t="inlineStr">
        <is>
          <t>++ </t>
        </is>
      </c>
      <c r="F3584" s="2" t="inlineStr">
        <is>
          <t>++ </t>
        </is>
      </c>
      <c r="H3584" s="2">
        <v>431</v>
      </c>
      <c r="I3584" s="2" t="inlineStr">
        <is>
          <t>$</t>
        </is>
      </c>
      <c r="J3584" s="2">
        <f>HYPERLINK("https://app.astro.lead-studio.pro/product/34ce7a6e-34ea-4f1f-81d7-400e740a140d")</f>
      </c>
    </row>
    <row r="3585" spans="1:10" customHeight="0">
      <c r="A3585" s="2" t="inlineStr">
        <is>
          <t>Компьютеры</t>
        </is>
      </c>
      <c r="B3585" s="2" t="inlineStr">
        <is>
          <t>MSI</t>
        </is>
      </c>
      <c r="C3585" s="2" t="inlineStr">
        <is>
          <t>936-B0A421-089</t>
        </is>
      </c>
      <c r="D3585" s="2" t="inlineStr">
        <is>
          <t>Неттоп MSI Pro DP21 13M-085BRU i5 13400 (2.5) UHDG 730 без ОС GbitEth WiFi BT 120W черный (936-B0A421-089)</t>
        </is>
      </c>
      <c r="E3585" s="2" t="inlineStr">
        <is>
          <t>+++ </t>
        </is>
      </c>
      <c r="F3585" s="2" t="inlineStr">
        <is>
          <t>+++ </t>
        </is>
      </c>
      <c r="H3585" s="2">
        <v>540</v>
      </c>
      <c r="I3585" s="2" t="inlineStr">
        <is>
          <t>$</t>
        </is>
      </c>
      <c r="J3585" s="2">
        <f>HYPERLINK("https://app.astro.lead-studio.pro/product/b5c1289b-8a8d-4300-a055-ac5c774fa6ff")</f>
      </c>
    </row>
    <row r="3586" spans="1:10" customHeight="0">
      <c r="A3586" s="2" t="inlineStr">
        <is>
          <t>Компьютеры</t>
        </is>
      </c>
      <c r="B3586" s="2" t="inlineStr">
        <is>
          <t>MSI</t>
        </is>
      </c>
      <c r="C3586" s="2" t="inlineStr">
        <is>
          <t>936-B0A421-086</t>
        </is>
      </c>
      <c r="D3586" s="2" t="inlineStr">
        <is>
          <t>Неттоп MSI Pro DP21 13M-086BRU i3 13100 (3.4) UHDG 730 без ОС GbitEth WiFi BT 120W черный (936-B0A421-086)</t>
        </is>
      </c>
      <c r="E3586" s="2" t="inlineStr">
        <is>
          <t>+++ </t>
        </is>
      </c>
      <c r="F3586" s="2" t="inlineStr">
        <is>
          <t>+++ </t>
        </is>
      </c>
      <c r="H3586" s="2">
        <v>395</v>
      </c>
      <c r="I3586" s="2" t="inlineStr">
        <is>
          <t>$</t>
        </is>
      </c>
      <c r="J3586" s="2">
        <f>HYPERLINK("https://app.astro.lead-studio.pro/product/3f1c6734-e126-46ab-9ba3-76c58844b5ac")</f>
      </c>
    </row>
    <row r="3587" spans="1:10" customHeight="0">
      <c r="A3587" s="2" t="inlineStr">
        <is>
          <t>Компьютеры</t>
        </is>
      </c>
      <c r="B3587" s="2" t="inlineStr">
        <is>
          <t>MSI</t>
        </is>
      </c>
      <c r="C3587" s="2" t="inlineStr">
        <is>
          <t>9S6-B0A421-602</t>
        </is>
      </c>
      <c r="D3587" s="2" t="inlineStr">
        <is>
          <t>Неттоп MSI Pro DP21 13M-602XRU i7 13700 (2.1) 16Gb SSD512Gb UHDG 770 без ОС GbitEth WiFi BT 120W черный (9S6-B0A421-602)</t>
        </is>
      </c>
      <c r="E3587" s="2" t="inlineStr">
        <is>
          <t>++ </t>
        </is>
      </c>
      <c r="F3587" s="2" t="inlineStr">
        <is>
          <t>++ </t>
        </is>
      </c>
      <c r="H3587" s="2">
        <v>828</v>
      </c>
      <c r="I3587" s="2" t="inlineStr">
        <is>
          <t>$</t>
        </is>
      </c>
      <c r="J3587" s="2">
        <f>HYPERLINK("https://app.astro.lead-studio.pro/product/8f81f63e-3c6b-496b-ae91-ea06d11bb1e5")</f>
      </c>
    </row>
    <row r="3588" spans="1:10" customHeight="0">
      <c r="A3588" s="2" t="inlineStr">
        <is>
          <t>Компьютеры</t>
        </is>
      </c>
      <c r="B3588" s="2" t="inlineStr">
        <is>
          <t>MSI</t>
        </is>
      </c>
      <c r="C3588" s="2" t="inlineStr">
        <is>
          <t>9S6-B0A421-632</t>
        </is>
      </c>
      <c r="D3588" s="2" t="inlineStr">
        <is>
          <t>Неттоп MSI Pro DP21 13M-604XRU i3 13100 (3.4) 8Gb SSD512Gb UHDG 730 без ОС GbitEth WiFi BT 120W черный (9S6-B0A421-632)</t>
        </is>
      </c>
      <c r="E3588" s="2" t="inlineStr">
        <is>
          <t>+++ </t>
        </is>
      </c>
      <c r="F3588" s="2" t="inlineStr">
        <is>
          <t>+++ </t>
        </is>
      </c>
      <c r="H3588" s="2">
        <v>522</v>
      </c>
      <c r="I3588" s="2" t="inlineStr">
        <is>
          <t>$</t>
        </is>
      </c>
      <c r="J3588" s="2">
        <f>HYPERLINK("https://app.astro.lead-studio.pro/product/b166f62d-ff65-4b42-a944-03365edc5a1a")</f>
      </c>
    </row>
    <row r="3589" spans="1:10" customHeight="0">
      <c r="A3589" s="2" t="inlineStr">
        <is>
          <t>Компьютеры</t>
        </is>
      </c>
      <c r="B3589" s="2" t="inlineStr">
        <is>
          <t>MSI</t>
        </is>
      </c>
      <c r="C3589" s="2" t="inlineStr">
        <is>
          <t>9S6-B0A421-666</t>
        </is>
      </c>
      <c r="D3589" s="2" t="inlineStr">
        <is>
          <t>Неттоп MSI Pro DP21 13M-607RU PG G7400 (3.7) 4Gb SSD128Gb UHDG 710 Windows 11 Pro GbitEth WiFi BT 120W черный (9S6-B0A421-666)</t>
        </is>
      </c>
      <c r="E3589" s="2" t="inlineStr">
        <is>
          <t>+++ </t>
        </is>
      </c>
      <c r="F3589" s="2" t="inlineStr">
        <is>
          <t>+++ </t>
        </is>
      </c>
      <c r="H3589" s="2">
        <v>373</v>
      </c>
      <c r="I3589" s="2" t="inlineStr">
        <is>
          <t>$</t>
        </is>
      </c>
      <c r="J3589" s="2">
        <f>HYPERLINK("https://app.astro.lead-studio.pro/product/3e019d05-b97d-439a-b985-fb71ad110db1")</f>
      </c>
    </row>
    <row r="3590" spans="1:10" customHeight="0">
      <c r="A3590" s="2" t="inlineStr">
        <is>
          <t>Компьютеры</t>
        </is>
      </c>
      <c r="B3590" s="2" t="inlineStr">
        <is>
          <t>MSI</t>
        </is>
      </c>
      <c r="C3590" s="2" t="inlineStr">
        <is>
          <t>9S6-B0A421-624</t>
        </is>
      </c>
      <c r="D3590" s="2" t="inlineStr">
        <is>
          <t>Неттоп MSI Pro DP21 13M-624XRU i5 13400 (2.5) 8Gb SSD512Gb UHDG 730 без ОС GbitEth WiFi BT 120W черный (9S6-B0A421-624)</t>
        </is>
      </c>
      <c r="E3590" s="2" t="inlineStr">
        <is>
          <t>+ </t>
        </is>
      </c>
      <c r="F3590" s="2" t="inlineStr">
        <is>
          <t>+ </t>
        </is>
      </c>
      <c r="H3590" s="2">
        <v>542</v>
      </c>
      <c r="I3590" s="2" t="inlineStr">
        <is>
          <t>$</t>
        </is>
      </c>
      <c r="J3590" s="2">
        <f>HYPERLINK("https://app.astro.lead-studio.pro/product/7ed8ebbd-fa2f-493b-90ab-643a55e67ded")</f>
      </c>
    </row>
    <row r="3591" spans="1:10" customHeight="0">
      <c r="A3591" s="2" t="inlineStr">
        <is>
          <t>Компьютеры</t>
        </is>
      </c>
      <c r="B3591" s="2" t="inlineStr">
        <is>
          <t>MSI</t>
        </is>
      </c>
      <c r="C3591" s="2" t="inlineStr">
        <is>
          <t>9S6-B0A421-665</t>
        </is>
      </c>
      <c r="D3591" s="2" t="inlineStr">
        <is>
          <t>Неттоп MSI Pro DP21 13M-631XRU i5 13400 (2.5) 16Gb SSD512Gb UHDG 730 без ОС GbitEth WiFi BT 120W черный (9S6-B0A421-665)</t>
        </is>
      </c>
      <c r="E3591" s="2" t="inlineStr">
        <is>
          <t>+++ </t>
        </is>
      </c>
      <c r="F3591" s="2" t="inlineStr">
        <is>
          <t>+++ </t>
        </is>
      </c>
      <c r="H3591" s="2">
        <v>653</v>
      </c>
      <c r="I3591" s="2" t="inlineStr">
        <is>
          <t>$</t>
        </is>
      </c>
      <c r="J3591" s="2">
        <f>HYPERLINK("https://app.astro.lead-studio.pro/product/1531c566-2636-4c5d-a191-340a5adcc4e5")</f>
      </c>
    </row>
    <row r="3592" spans="1:10" customHeight="0">
      <c r="A3592" s="2" t="inlineStr">
        <is>
          <t>Компьютеры</t>
        </is>
      </c>
      <c r="B3592" s="2" t="inlineStr">
        <is>
          <t>MSI</t>
        </is>
      </c>
      <c r="C3592" s="2" t="inlineStr">
        <is>
          <t>9S6-B0A421-691</t>
        </is>
      </c>
      <c r="D3592" s="2" t="inlineStr">
        <is>
          <t>Неттоп MSI Pro DP21 13M-691RU i3 13100 (3.4) 8Gb SSD512Gb UHDG 730 Windows 11 Pro GbitEth WiFi BT 120W черный (9S6-B0A421-691)</t>
        </is>
      </c>
      <c r="E3592" s="2" t="inlineStr">
        <is>
          <t>+++ </t>
        </is>
      </c>
      <c r="F3592" s="2" t="inlineStr">
        <is>
          <t>+++ </t>
        </is>
      </c>
      <c r="H3592" s="2">
        <v>665</v>
      </c>
      <c r="I3592" s="2" t="inlineStr">
        <is>
          <t>$</t>
        </is>
      </c>
      <c r="J3592" s="2">
        <f>HYPERLINK("https://app.astro.lead-studio.pro/product/7efdc3a8-1cdd-46e4-af57-83406fb9a2e1")</f>
      </c>
    </row>
    <row r="3593" spans="1:10" customHeight="0">
      <c r="A3593" s="2" t="inlineStr">
        <is>
          <t>Компьютеры</t>
        </is>
      </c>
      <c r="B3593" s="2" t="inlineStr">
        <is>
          <t>MSI</t>
        </is>
      </c>
      <c r="C3593" s="2" t="inlineStr">
        <is>
          <t>9S6-B92441-811</t>
        </is>
      </c>
      <c r="D3593" s="2" t="inlineStr">
        <is>
          <t>ПК MSI Trident AS 14NUE5-691XRU i5 14400F (2.5) 32Gb SSD1Tb RTX 4070Super 12Gb без ОС 2.5xGbitEth WiFi BT 500W черный (9S6-B92441-811)</t>
        </is>
      </c>
      <c r="E3593" s="2" t="inlineStr">
        <is>
          <t>+ </t>
        </is>
      </c>
      <c r="F3593" s="2" t="inlineStr">
        <is>
          <t>+ </t>
        </is>
      </c>
      <c r="H3593" s="2">
        <v>1923</v>
      </c>
      <c r="I3593" s="2" t="inlineStr">
        <is>
          <t>$</t>
        </is>
      </c>
      <c r="J3593" s="2">
        <f>HYPERLINK("https://app.astro.lead-studio.pro/product/1ff8b232-c933-403a-853e-ee51ea3953d4")</f>
      </c>
    </row>
    <row r="3594" spans="1:10" customHeight="0">
      <c r="A3594" s="2" t="inlineStr">
        <is>
          <t>Компьютеры</t>
        </is>
      </c>
      <c r="B3594" s="2" t="inlineStr">
        <is>
          <t>TECLAST</t>
        </is>
      </c>
      <c r="C3594" s="2" t="inlineStr">
        <is>
          <t>G01 12400F16G5123050KRU</t>
        </is>
      </c>
      <c r="D3594" s="2" t="inlineStr">
        <is>
          <t>ПК Teclast G01 i5 12400F (2.5) 16Gb SSD512Gb RTX3050 6Gb Windows 11 Pro GbitEth 500W черный (G01 12400F16G5123050KRU)</t>
        </is>
      </c>
      <c r="E3594" s="2" t="inlineStr">
        <is>
          <t>+ </t>
        </is>
      </c>
      <c r="F3594" s="2" t="inlineStr">
        <is>
          <t>+ </t>
        </is>
      </c>
      <c r="H3594" s="2">
        <v>836</v>
      </c>
      <c r="I3594" s="2" t="inlineStr">
        <is>
          <t>$</t>
        </is>
      </c>
      <c r="J3594" s="2">
        <f>HYPERLINK("https://app.astro.lead-studio.pro/product/0f1cdd2b-798e-48a6-a731-15079ffab7e5")</f>
      </c>
    </row>
    <row r="3595" spans="1:10" customHeight="0">
      <c r="A3595" s="2" t="inlineStr">
        <is>
          <t>Ноутбуки</t>
        </is>
      </c>
      <c r="B3595" s="2" t="inlineStr">
        <is>
          <t>ACER</t>
        </is>
      </c>
      <c r="C3595" s="2" t="inlineStr">
        <is>
          <t>NX.KXBCD.003</t>
        </is>
      </c>
      <c r="D3595" s="2" t="inlineStr">
        <is>
          <t>Ноутбук Acer Aspire 15 A15-41M-R78V Ryzen 3 7335U 16Gb SSD512Gb AMD Radeon 15.6" IPS FHD (1920x1080) без ОС metall WiFi BT Cam (NX.KXBCD.003)</t>
        </is>
      </c>
      <c r="E3595" s="2" t="inlineStr">
        <is>
          <t>+ </t>
        </is>
      </c>
      <c r="F3595" s="2" t="inlineStr">
        <is>
          <t>+ </t>
        </is>
      </c>
      <c r="H3595" s="2">
        <v>613</v>
      </c>
      <c r="I3595" s="2" t="inlineStr">
        <is>
          <t>$</t>
        </is>
      </c>
      <c r="J3595" s="2">
        <f>HYPERLINK("https://app.astro.lead-studio.pro/product/e15486d3-b625-40ad-9dae-0416bdbf1a5e")</f>
      </c>
    </row>
    <row r="3596" spans="1:10" customHeight="0">
      <c r="A3596" s="2" t="inlineStr">
        <is>
          <t>Ноутбуки</t>
        </is>
      </c>
      <c r="B3596" s="2" t="inlineStr">
        <is>
          <t>ACER</t>
        </is>
      </c>
      <c r="C3596" s="2" t="inlineStr">
        <is>
          <t>NX.KXRCD.007</t>
        </is>
      </c>
      <c r="D3596" s="2" t="inlineStr">
        <is>
          <t>Ноутбук Acer Aspire 15 A15-51M-74HF Core 7 150U 16Gb SSD512Gb Intel Graphics 15.6" IPS FHD (1920x1080) без ОС metall WiFi BT Cam (NX.KXRCD.007)</t>
        </is>
      </c>
      <c r="E3596" s="2" t="inlineStr">
        <is>
          <t>+ </t>
        </is>
      </c>
      <c r="F3596" s="2" t="inlineStr">
        <is>
          <t>+ </t>
        </is>
      </c>
      <c r="H3596" s="2">
        <v>991</v>
      </c>
      <c r="I3596" s="2" t="inlineStr">
        <is>
          <t>$</t>
        </is>
      </c>
      <c r="J3596" s="2">
        <f>HYPERLINK("https://app.astro.lead-studio.pro/product/cb6606f0-c500-45c9-8cfb-e00d604600f8")</f>
      </c>
    </row>
    <row r="3597" spans="1:10" customHeight="0">
      <c r="A3597" s="2" t="inlineStr">
        <is>
          <t>Ноутбуки</t>
        </is>
      </c>
      <c r="B3597" s="2" t="inlineStr">
        <is>
          <t>ACER</t>
        </is>
      </c>
      <c r="C3597" s="2" t="inlineStr">
        <is>
          <t>NX.KXUCD.001</t>
        </is>
      </c>
      <c r="D3597" s="2" t="inlineStr">
        <is>
          <t>Ноутбук Acer Aspire 16 A16-51GM-57T5 Core 5 120U 8Gb SSD512Gb NVIDIA GeForce RTX 2050 4Gb 16" IPS WUXGA (1920x1200) без ОС metall WiFi BT Cam (NX.KXUCD.001)</t>
        </is>
      </c>
      <c r="E3597" s="2" t="inlineStr">
        <is>
          <t>+ </t>
        </is>
      </c>
      <c r="F3597" s="2" t="inlineStr">
        <is>
          <t>+ </t>
        </is>
      </c>
      <c r="H3597" s="2">
        <v>826</v>
      </c>
      <c r="I3597" s="2" t="inlineStr">
        <is>
          <t>$</t>
        </is>
      </c>
      <c r="J3597" s="2">
        <f>HYPERLINK("https://app.astro.lead-studio.pro/product/a7b7b11b-fbef-4764-af29-8c568a001219")</f>
      </c>
    </row>
    <row r="3598" spans="1:10" customHeight="0">
      <c r="A3598" s="2" t="inlineStr">
        <is>
          <t>Ноутбуки</t>
        </is>
      </c>
      <c r="B3598" s="2" t="inlineStr">
        <is>
          <t>ACER</t>
        </is>
      </c>
      <c r="C3598" s="2" t="inlineStr">
        <is>
          <t>NX.KSFCD.005</t>
        </is>
      </c>
      <c r="D3598" s="2" t="inlineStr">
        <is>
          <t>Ноутбук Acer Aspire 3 A314-42P-R3RD Ryzen 7 5700U 8Gb SSD1Tb AMD Radeon 14" IPS WUXGA (1920x1200) без ОС silver WiFi BT Cam (NX.KSFCD.005)</t>
        </is>
      </c>
      <c r="E3598" s="2" t="inlineStr">
        <is>
          <t>+ </t>
        </is>
      </c>
      <c r="F3598" s="2" t="inlineStr">
        <is>
          <t>+ </t>
        </is>
      </c>
      <c r="H3598" s="2">
        <v>553</v>
      </c>
      <c r="I3598" s="2" t="inlineStr">
        <is>
          <t>$</t>
        </is>
      </c>
      <c r="J3598" s="2">
        <f>HYPERLINK("https://app.astro.lead-studio.pro/product/0c4d40e1-7b52-48e9-b18c-9920b2737f0b")</f>
      </c>
    </row>
    <row r="3599" spans="1:10" customHeight="0">
      <c r="A3599" s="2" t="inlineStr">
        <is>
          <t>Ноутбуки</t>
        </is>
      </c>
      <c r="B3599" s="2" t="inlineStr">
        <is>
          <t>ACER</t>
        </is>
      </c>
      <c r="C3599" s="2" t="inlineStr">
        <is>
          <t>NX.KSFCD.006</t>
        </is>
      </c>
      <c r="D3599" s="2" t="inlineStr">
        <is>
          <t>Ноутбук Acer Aspire 3 A314-42P-R7LU Ryzen 7 5700U 8Gb SSD512Gb AMD Radeon 14" IPS WUXGA (1920x1200) без ОС silver WiFi BT Cam (NX.KSFCD.006)</t>
        </is>
      </c>
      <c r="E3599" s="2" t="inlineStr">
        <is>
          <t>+ </t>
        </is>
      </c>
      <c r="F3599" s="2" t="inlineStr">
        <is>
          <t>+ </t>
        </is>
      </c>
      <c r="H3599" s="2">
        <v>590</v>
      </c>
      <c r="I3599" s="2" t="inlineStr">
        <is>
          <t>$</t>
        </is>
      </c>
      <c r="J3599" s="2">
        <f>HYPERLINK("https://app.astro.lead-studio.pro/product/91215679-69c9-4eef-a718-e1cbe00c434b")</f>
      </c>
    </row>
    <row r="3600" spans="1:10" customHeight="0">
      <c r="A3600" s="2" t="inlineStr">
        <is>
          <t>Ноутбуки</t>
        </is>
      </c>
      <c r="B3600" s="2" t="inlineStr">
        <is>
          <t>ACER</t>
        </is>
      </c>
      <c r="C3600" s="2" t="inlineStr">
        <is>
          <t>NX.KSJCD.005</t>
        </is>
      </c>
      <c r="D3600" s="2" t="inlineStr">
        <is>
          <t>Ноутбук Acer Aspire 3 A315-44P-R0ET Ryzen 7 5700U 8Gb SSD1Tb AMD Radeon 15.6" IPS FHD (1920x1080) без ОС silver WiFi BT Cam (NX.KSJCD.005)</t>
        </is>
      </c>
      <c r="E3600" s="2" t="inlineStr">
        <is>
          <t>+ </t>
        </is>
      </c>
      <c r="F3600" s="2" t="inlineStr">
        <is>
          <t>+ </t>
        </is>
      </c>
      <c r="H3600" s="2">
        <v>623</v>
      </c>
      <c r="I3600" s="2" t="inlineStr">
        <is>
          <t>$</t>
        </is>
      </c>
      <c r="J3600" s="2">
        <f>HYPERLINK("https://app.astro.lead-studio.pro/product/26d6b6a4-190d-4e18-a42e-45c9f2a9d0d6")</f>
      </c>
    </row>
    <row r="3601" spans="1:10" customHeight="0">
      <c r="A3601" s="2" t="inlineStr">
        <is>
          <t>Ноутбуки</t>
        </is>
      </c>
      <c r="B3601" s="2" t="inlineStr">
        <is>
          <t>ACER</t>
        </is>
      </c>
      <c r="C3601" s="2" t="inlineStr">
        <is>
          <t>NX.KDKCD.001</t>
        </is>
      </c>
      <c r="D3601" s="2" t="inlineStr">
        <is>
          <t>Ноутбук Acer Aspire 3 A317-55P-341F Core i3 N305 16Gb SSD512Gb Intel UHD Graphics 17.3" IPS FHD (1920x1080) noOS silver WiFi BT Cam (NX.KDKCD.001)</t>
        </is>
      </c>
      <c r="E3601" s="2" t="inlineStr">
        <is>
          <t>+++ </t>
        </is>
      </c>
      <c r="F3601" s="2" t="inlineStr">
        <is>
          <t>+++ </t>
        </is>
      </c>
      <c r="H3601" s="2">
        <v>610</v>
      </c>
      <c r="I3601" s="2" t="inlineStr">
        <is>
          <t>$</t>
        </is>
      </c>
      <c r="J3601" s="2">
        <f>HYPERLINK("https://app.astro.lead-studio.pro/product/e9035a74-890e-4947-ae05-9f4065fa957e")</f>
      </c>
    </row>
    <row r="3602" spans="1:10" customHeight="0">
      <c r="A3602" s="2" t="inlineStr">
        <is>
          <t>Ноутбуки</t>
        </is>
      </c>
      <c r="B3602" s="2" t="inlineStr">
        <is>
          <t>ACER</t>
        </is>
      </c>
      <c r="C3602" s="2" t="inlineStr">
        <is>
          <t>NX.KDKCD.009</t>
        </is>
      </c>
      <c r="D3602" s="2" t="inlineStr">
        <is>
          <t>Ноутбук Acer Aspire 3 A317-55P-35KV Core i3 N305 8Gb SSD512Gb Intel UHD Graphics 17.3" IPS FHD (1920x1080) noOS silver WiFi BT Cam (NX.KDKCD.009)</t>
        </is>
      </c>
      <c r="E3602" s="2" t="inlineStr">
        <is>
          <t>+++ </t>
        </is>
      </c>
      <c r="F3602" s="2" t="inlineStr">
        <is>
          <t>+++ </t>
        </is>
      </c>
      <c r="H3602" s="2">
        <v>549</v>
      </c>
      <c r="I3602" s="2" t="inlineStr">
        <is>
          <t>$</t>
        </is>
      </c>
      <c r="J3602" s="2">
        <f>HYPERLINK("https://app.astro.lead-studio.pro/product/1d88e04f-ec05-460a-b58a-9ba5ee81d1d3")</f>
      </c>
    </row>
    <row r="3603" spans="1:10" customHeight="0">
      <c r="A3603" s="2" t="inlineStr">
        <is>
          <t>Ноутбуки</t>
        </is>
      </c>
      <c r="B3603" s="2" t="inlineStr">
        <is>
          <t>ACER</t>
        </is>
      </c>
      <c r="C3603" s="2" t="inlineStr">
        <is>
          <t>NX.KDKCD.003</t>
        </is>
      </c>
      <c r="D3603" s="2" t="inlineStr">
        <is>
          <t>Ноутбук Acer Aspire 3 A317-55P-36S9 Core i3 N305 8Gb SSD512Gb Intel UHD Graphics 17.3" IPS FHD (1920x1080) Windows 11 Home silver WiFi BT Cam (NX.KDKCD.003)</t>
        </is>
      </c>
      <c r="E3603" s="2" t="inlineStr">
        <is>
          <t>+ </t>
        </is>
      </c>
      <c r="F3603" s="2" t="inlineStr">
        <is>
          <t>+ </t>
        </is>
      </c>
      <c r="H3603" s="2">
        <v>647</v>
      </c>
      <c r="I3603" s="2" t="inlineStr">
        <is>
          <t>$</t>
        </is>
      </c>
      <c r="J3603" s="2">
        <f>HYPERLINK("https://app.astro.lead-studio.pro/product/a1823749-e9c2-454c-a2a2-dd23bde9cf5d")</f>
      </c>
    </row>
    <row r="3604" spans="1:10" customHeight="0">
      <c r="A3604" s="2" t="inlineStr">
        <is>
          <t>Ноутбуки</t>
        </is>
      </c>
      <c r="B3604" s="2" t="inlineStr">
        <is>
          <t>ACER</t>
        </is>
      </c>
      <c r="C3604" s="2" t="inlineStr">
        <is>
          <t>NX.KDKCD.006</t>
        </is>
      </c>
      <c r="D3604" s="2" t="inlineStr">
        <is>
          <t>Ноутбук Acer Aspire 3 A317-55P-P3G1 N-series N200 8Gb SSD512Gb Intel UHD Graphics 17.3" IPS FHD (1920x1080) без ОС silver WiFi BT Cam (NX.KDKCD.006)</t>
        </is>
      </c>
      <c r="E3604" s="2" t="inlineStr">
        <is>
          <t>+ </t>
        </is>
      </c>
      <c r="F3604" s="2" t="inlineStr">
        <is>
          <t>+ </t>
        </is>
      </c>
      <c r="H3604" s="2">
        <v>489</v>
      </c>
      <c r="I3604" s="2" t="inlineStr">
        <is>
          <t>$</t>
        </is>
      </c>
      <c r="J3604" s="2">
        <f>HYPERLINK("https://app.astro.lead-studio.pro/product/20447191-5fbc-42dc-81a1-5c322bb1cdb7")</f>
      </c>
    </row>
    <row r="3605" spans="1:10" customHeight="0">
      <c r="A3605" s="2" t="inlineStr">
        <is>
          <t>Ноутбуки</t>
        </is>
      </c>
      <c r="B3605" s="2" t="inlineStr">
        <is>
          <t>ACER</t>
        </is>
      </c>
      <c r="C3605" s="2" t="inlineStr">
        <is>
          <t>NX.KN3CD.00M</t>
        </is>
      </c>
      <c r="D3605" s="2" t="inlineStr">
        <is>
          <t>Ноутбук Acer Aspire 5 A515-57-50R7 Core i5 12450H 16Gb SSD512Gb Intel UHD Graphics 15.6" IPS FHD (1920x1080) без ОС metall WiFi BT Cam (NX.KN3CD.00M)</t>
        </is>
      </c>
      <c r="E3605" s="2" t="inlineStr">
        <is>
          <t>+++ </t>
        </is>
      </c>
      <c r="F3605" s="2" t="inlineStr">
        <is>
          <t>+++ </t>
        </is>
      </c>
      <c r="H3605" s="2">
        <v>645</v>
      </c>
      <c r="I3605" s="2" t="inlineStr">
        <is>
          <t>$</t>
        </is>
      </c>
      <c r="J3605" s="2">
        <f>HYPERLINK("https://app.astro.lead-studio.pro/product/2fcfdb75-3f95-496a-b33f-6f87a9dd0eb7")</f>
      </c>
    </row>
    <row r="3606" spans="1:10" customHeight="0">
      <c r="A3606" s="2" t="inlineStr">
        <is>
          <t>Ноутбуки</t>
        </is>
      </c>
      <c r="B3606" s="2" t="inlineStr">
        <is>
          <t>ACER</t>
        </is>
      </c>
      <c r="C3606" s="2" t="inlineStr">
        <is>
          <t>NX.KN3CD.00L</t>
        </is>
      </c>
      <c r="D3606" s="2" t="inlineStr">
        <is>
          <t>Ноутбук Acer Aspire 5 A515-57-50YA Core i5 12450H 8Gb SSD512Gb Intel UHD Graphics 15.6" IPS FHD (1920x1080) без ОС metall WiFi BT Cam (NX.KN3CD.00L)</t>
        </is>
      </c>
      <c r="E3606" s="2" t="inlineStr">
        <is>
          <t>+++ </t>
        </is>
      </c>
      <c r="F3606" s="2" t="inlineStr">
        <is>
          <t>+++ </t>
        </is>
      </c>
      <c r="H3606" s="2">
        <v>604</v>
      </c>
      <c r="I3606" s="2" t="inlineStr">
        <is>
          <t>$</t>
        </is>
      </c>
      <c r="J3606" s="2">
        <f>HYPERLINK("https://app.astro.lead-studio.pro/product/804e5624-93c1-4096-bf02-fdb9d62eaa1c")</f>
      </c>
    </row>
    <row r="3607" spans="1:10" customHeight="0">
      <c r="A3607" s="2" t="inlineStr">
        <is>
          <t>Ноутбуки</t>
        </is>
      </c>
      <c r="B3607" s="2" t="inlineStr">
        <is>
          <t>ACER</t>
        </is>
      </c>
      <c r="C3607" s="2" t="inlineStr">
        <is>
          <t>NX.KN3CD.003</t>
        </is>
      </c>
      <c r="D3607" s="2" t="inlineStr">
        <is>
          <t>Ноутбук Acer Aspire 5 A515-57-52ZZ Core i5 12450H 16Gb SSD1Tb Intel UHD Graphics 15.6" IPS FHD (1920x1080) без ОС metall WiFi BT Cam (NX.KN3CD.003)</t>
        </is>
      </c>
      <c r="E3607" s="2" t="inlineStr">
        <is>
          <t>+ </t>
        </is>
      </c>
      <c r="F3607" s="2" t="inlineStr">
        <is>
          <t>+ </t>
        </is>
      </c>
      <c r="H3607" s="2">
        <v>702</v>
      </c>
      <c r="I3607" s="2" t="inlineStr">
        <is>
          <t>$</t>
        </is>
      </c>
      <c r="J3607" s="2">
        <f>HYPERLINK("https://app.astro.lead-studio.pro/product/8f8b66b7-7190-4b03-96b8-bcf4837da715")</f>
      </c>
    </row>
    <row r="3608" spans="1:10" customHeight="0">
      <c r="A3608" s="2" t="inlineStr">
        <is>
          <t>Ноутбуки</t>
        </is>
      </c>
      <c r="B3608" s="2" t="inlineStr">
        <is>
          <t>ACER</t>
        </is>
      </c>
      <c r="C3608" s="2" t="inlineStr">
        <is>
          <t>NX.KN4EX.017</t>
        </is>
      </c>
      <c r="D3608" s="2" t="inlineStr">
        <is>
          <t>Ноутбук Acer Aspire 5 A515-57-53NK Core i5 12450H 16Gb SSD512Gb Intel UHD Graphics 15.6" IPS FHD (1920x1080) без ОС metall WiFi BT Cam (NX.KN4EX.017)</t>
        </is>
      </c>
      <c r="E3608" s="2" t="inlineStr">
        <is>
          <t>+ </t>
        </is>
      </c>
      <c r="F3608" s="2" t="inlineStr">
        <is>
          <t>+ </t>
        </is>
      </c>
      <c r="H3608" s="2">
        <v>668</v>
      </c>
      <c r="I3608" s="2" t="inlineStr">
        <is>
          <t>$</t>
        </is>
      </c>
      <c r="J3608" s="2">
        <f>HYPERLINK("https://app.astro.lead-studio.pro/product/6c28909f-828b-4494-91d9-d0bcd1ae5a73")</f>
      </c>
    </row>
    <row r="3609" spans="1:10" customHeight="0">
      <c r="A3609" s="2" t="inlineStr">
        <is>
          <t>Ноутбуки</t>
        </is>
      </c>
      <c r="B3609" s="2" t="inlineStr">
        <is>
          <t>ACER</t>
        </is>
      </c>
      <c r="C3609" s="2" t="inlineStr">
        <is>
          <t>NX.KHJER.004</t>
        </is>
      </c>
      <c r="D3609" s="2" t="inlineStr">
        <is>
          <t>Ноутбук Acer Aspire 5 A515-58P-55K7 Core i5 1335U 8Gb SSD512Gb Intel UHD Graphics 15.6" TN FHD (1920x1080) без ОС silver WiFi BT Cam (NX.KHJER.004)</t>
        </is>
      </c>
      <c r="E3609" s="2" t="inlineStr">
        <is>
          <t>+ </t>
        </is>
      </c>
      <c r="F3609" s="2" t="inlineStr">
        <is>
          <t>+ </t>
        </is>
      </c>
      <c r="H3609" s="2">
        <v>632</v>
      </c>
      <c r="I3609" s="2" t="inlineStr">
        <is>
          <t>$</t>
        </is>
      </c>
      <c r="J3609" s="2">
        <f>HYPERLINK("https://app.astro.lead-studio.pro/product/5f04c5db-4af2-4c5d-99d6-385efce32679")</f>
      </c>
    </row>
    <row r="3610" spans="1:10" customHeight="0">
      <c r="A3610" s="2" t="inlineStr">
        <is>
          <t>Ноутбуки</t>
        </is>
      </c>
      <c r="B3610" s="2" t="inlineStr">
        <is>
          <t>ACER</t>
        </is>
      </c>
      <c r="C3610" s="2" t="inlineStr">
        <is>
          <t>NX.EH3CD.002</t>
        </is>
      </c>
      <c r="D3610" s="2" t="inlineStr">
        <is>
          <t>Ноутбук Acer Extensa 15 EX215-23-R0GZ Ryzen 5 7520U 8Gb SSD512Gb AMD Radeon 610M 15.6" IPS FHD (1920x1080) без ОС grey WiFi BT Cam (NX.EH3CD.002)</t>
        </is>
      </c>
      <c r="E3610" s="2" t="inlineStr">
        <is>
          <t>+ </t>
        </is>
      </c>
      <c r="F3610" s="2" t="inlineStr">
        <is>
          <t>+ </t>
        </is>
      </c>
      <c r="H3610" s="2">
        <v>490</v>
      </c>
      <c r="I3610" s="2" t="inlineStr">
        <is>
          <t>$</t>
        </is>
      </c>
      <c r="J3610" s="2">
        <f>HYPERLINK("https://app.astro.lead-studio.pro/product/34b7dc8e-7abb-462e-9897-c5bc24076956")</f>
      </c>
    </row>
    <row r="3611" spans="1:10" customHeight="0">
      <c r="A3611" s="2" t="inlineStr">
        <is>
          <t>Ноутбуки</t>
        </is>
      </c>
      <c r="B3611" s="2" t="inlineStr">
        <is>
          <t>ACER</t>
        </is>
      </c>
      <c r="C3611" s="2" t="inlineStr">
        <is>
          <t>NX.EH3CD.009</t>
        </is>
      </c>
      <c r="D3611" s="2" t="inlineStr">
        <is>
          <t>Ноутбук Acer Extensa 15 EX215-23-R0R1 Ryzen 5 7520U 16Gb SSD1Tb AMD Radeon 610M 15.6" IPS FHD (1920x1080) Windows 11 Home grey WiFi BT Cam (NX.EH3CD.009)</t>
        </is>
      </c>
      <c r="E3611" s="2" t="inlineStr">
        <is>
          <t>+ </t>
        </is>
      </c>
      <c r="F3611" s="2" t="inlineStr">
        <is>
          <t>+ </t>
        </is>
      </c>
      <c r="H3611" s="2">
        <v>715</v>
      </c>
      <c r="I3611" s="2" t="inlineStr">
        <is>
          <t>$</t>
        </is>
      </c>
      <c r="J3611" s="2">
        <f>HYPERLINK("https://app.astro.lead-studio.pro/product/7124a325-847f-4764-ac98-574179a4019d")</f>
      </c>
    </row>
    <row r="3612" spans="1:10" customHeight="0">
      <c r="A3612" s="2" t="inlineStr">
        <is>
          <t>Ноутбуки</t>
        </is>
      </c>
      <c r="B3612" s="2" t="inlineStr">
        <is>
          <t>ACER</t>
        </is>
      </c>
      <c r="C3612" s="2" t="inlineStr">
        <is>
          <t>NX.EH3CD.003</t>
        </is>
      </c>
      <c r="D3612" s="2" t="inlineStr">
        <is>
          <t>Ноутбук Acer Extensa 15 EX215-23-R0YA Ryzen 5 7520U 8Gb SSD256Gb AMD Radeon 610M 15.6" IPS FHD (1920x1080) без ОС grey WiFi BT Cam (NX.EH3CD.003)</t>
        </is>
      </c>
      <c r="E3612" s="2" t="inlineStr">
        <is>
          <t>+ </t>
        </is>
      </c>
      <c r="F3612" s="2" t="inlineStr">
        <is>
          <t>+ </t>
        </is>
      </c>
      <c r="H3612" s="2">
        <v>473</v>
      </c>
      <c r="I3612" s="2" t="inlineStr">
        <is>
          <t>$</t>
        </is>
      </c>
      <c r="J3612" s="2">
        <f>HYPERLINK("https://app.astro.lead-studio.pro/product/cc814157-35b4-46c3-bd78-e01ae0a8bfae")</f>
      </c>
    </row>
    <row r="3613" spans="1:10" customHeight="0">
      <c r="A3613" s="2" t="inlineStr">
        <is>
          <t>Ноутбуки</t>
        </is>
      </c>
      <c r="B3613" s="2" t="inlineStr">
        <is>
          <t>ACER</t>
        </is>
      </c>
      <c r="C3613" s="2" t="inlineStr">
        <is>
          <t>NX.EH3CD.00F</t>
        </is>
      </c>
      <c r="D3613" s="2" t="inlineStr">
        <is>
          <t>Ноутбук Acer Extensa 15 EX215-23-R1QL Ryzen 5 7520U 8Gb SSD256Gb AMD Radeon 610M 15.6" TN FHD (1920x1080) без ОС grey WiFi BT Cam (NX.EH3CD.00F)</t>
        </is>
      </c>
      <c r="E3613" s="2" t="inlineStr">
        <is>
          <t>+ </t>
        </is>
      </c>
      <c r="F3613" s="2" t="inlineStr">
        <is>
          <t>+ </t>
        </is>
      </c>
      <c r="H3613" s="2">
        <v>465</v>
      </c>
      <c r="I3613" s="2" t="inlineStr">
        <is>
          <t>$</t>
        </is>
      </c>
      <c r="J3613" s="2">
        <f>HYPERLINK("https://app.astro.lead-studio.pro/product/e626a9b7-f960-4065-9fbb-0ab1c817043a")</f>
      </c>
    </row>
    <row r="3614" spans="1:10" customHeight="0">
      <c r="A3614" s="2" t="inlineStr">
        <is>
          <t>Ноутбуки</t>
        </is>
      </c>
      <c r="B3614" s="2" t="inlineStr">
        <is>
          <t>ACER</t>
        </is>
      </c>
      <c r="C3614" s="2" t="inlineStr">
        <is>
          <t>NX.EH3CD.006</t>
        </is>
      </c>
      <c r="D3614" s="2" t="inlineStr">
        <is>
          <t>Ноутбук Acer Extensa 15 EX215-23-R2FV Ryzen 3 7320U 8Gb SSD512Gb AMD Radeon 610M 15.6" IPS FHD (1920x1080) Windows 11 Home grey WiFi BT Cam (NX.EH3CD.006)</t>
        </is>
      </c>
      <c r="E3614" s="2" t="inlineStr">
        <is>
          <t>+ </t>
        </is>
      </c>
      <c r="F3614" s="2" t="inlineStr">
        <is>
          <t>+ </t>
        </is>
      </c>
      <c r="H3614" s="2">
        <v>530</v>
      </c>
      <c r="I3614" s="2" t="inlineStr">
        <is>
          <t>$</t>
        </is>
      </c>
      <c r="J3614" s="2">
        <f>HYPERLINK("https://app.astro.lead-studio.pro/product/2f817e6b-fb4f-45cf-a293-b19d4d139619")</f>
      </c>
    </row>
    <row r="3615" spans="1:10" customHeight="0">
      <c r="A3615" s="2" t="inlineStr">
        <is>
          <t>Ноутбуки</t>
        </is>
      </c>
      <c r="B3615" s="2" t="inlineStr">
        <is>
          <t>ACER</t>
        </is>
      </c>
      <c r="C3615" s="2" t="inlineStr">
        <is>
          <t>NX.EH3CD.00D</t>
        </is>
      </c>
      <c r="D3615" s="2" t="inlineStr">
        <is>
          <t>Ноутбук Acer Extensa 15 EX215-23-R62L Ryzen 3 7320U 16Gb SSD512Gb AMD Radeon 610M 15.6" IPS FHD (1920x1080) noOS grey WiFi BT Cam (NX.EH3CD.00D)</t>
        </is>
      </c>
      <c r="E3615" s="2" t="inlineStr">
        <is>
          <t>+ </t>
        </is>
      </c>
      <c r="F3615" s="2" t="inlineStr">
        <is>
          <t>+ </t>
        </is>
      </c>
      <c r="H3615" s="2">
        <v>505</v>
      </c>
      <c r="I3615" s="2" t="inlineStr">
        <is>
          <t>$</t>
        </is>
      </c>
      <c r="J3615" s="2">
        <f>HYPERLINK("https://app.astro.lead-studio.pro/product/9b0ca5a7-2c19-41f0-a539-91738f419355")</f>
      </c>
    </row>
    <row r="3616" spans="1:10" customHeight="0">
      <c r="A3616" s="2" t="inlineStr">
        <is>
          <t>Ноутбуки</t>
        </is>
      </c>
      <c r="B3616" s="2" t="inlineStr">
        <is>
          <t>ACER</t>
        </is>
      </c>
      <c r="C3616" s="2" t="inlineStr">
        <is>
          <t>NX.EH3CD.004</t>
        </is>
      </c>
      <c r="D3616" s="2" t="inlineStr">
        <is>
          <t>Ноутбук Acer Extensa 15 EX215-23-R6F9 Ryzen 3 7320U 8Gb SSD512Gb AMD Radeon 610M 15.6" IPS FHD (1920x1080) noOS grey WiFi BT Cam (NX.EH3CD.004)</t>
        </is>
      </c>
      <c r="E3616" s="2" t="inlineStr">
        <is>
          <t>+ </t>
        </is>
      </c>
      <c r="F3616" s="2" t="inlineStr">
        <is>
          <t>+ </t>
        </is>
      </c>
      <c r="H3616" s="2">
        <v>449</v>
      </c>
      <c r="I3616" s="2" t="inlineStr">
        <is>
          <t>$</t>
        </is>
      </c>
      <c r="J3616" s="2">
        <f>HYPERLINK("https://app.astro.lead-studio.pro/product/ce8da7c1-08af-4304-832e-8d7d77912e72")</f>
      </c>
    </row>
    <row r="3617" spans="1:10" customHeight="0">
      <c r="A3617" s="2" t="inlineStr">
        <is>
          <t>Ноутбуки</t>
        </is>
      </c>
      <c r="B3617" s="2" t="inlineStr">
        <is>
          <t>ACER</t>
        </is>
      </c>
      <c r="C3617" s="2" t="inlineStr">
        <is>
          <t>NX.EH3CD.00H</t>
        </is>
      </c>
      <c r="D3617" s="2" t="inlineStr">
        <is>
          <t>Ноутбук Acer Extensa 15 EX215-23-R8JE Ryzen 5 7520U 16Gb SSD512Gb AMD Radeon 15.6" TN FHD (1920x1080) без ОС grey WiFi BT Cam (NX.EH3CD.00H)</t>
        </is>
      </c>
      <c r="E3617" s="2" t="inlineStr">
        <is>
          <t>+ </t>
        </is>
      </c>
      <c r="F3617" s="2" t="inlineStr">
        <is>
          <t>+ </t>
        </is>
      </c>
      <c r="H3617" s="2">
        <v>532</v>
      </c>
      <c r="I3617" s="2" t="inlineStr">
        <is>
          <t>$</t>
        </is>
      </c>
      <c r="J3617" s="2">
        <f>HYPERLINK("https://app.astro.lead-studio.pro/product/16b13c4b-907b-4a84-b032-29a7d453c0e6")</f>
      </c>
    </row>
    <row r="3618" spans="1:10" customHeight="0">
      <c r="A3618" s="2" t="inlineStr">
        <is>
          <t>Ноутбуки</t>
        </is>
      </c>
      <c r="B3618" s="2" t="inlineStr">
        <is>
          <t>ACER</t>
        </is>
      </c>
      <c r="C3618" s="2" t="inlineStr">
        <is>
          <t>NX.EH3CD.00B</t>
        </is>
      </c>
      <c r="D3618" s="2" t="inlineStr">
        <is>
          <t>Ноутбук Acer Extensa 15 EX215-23-R8PN Ryzen 5 7520U 16Gb SSD512Gb AMD Radeon 610M 15.6" IPS FHD (1920x1080) без ОС grey WiFi BT Cam (NX.EH3CD.00B)</t>
        </is>
      </c>
      <c r="E3618" s="2" t="inlineStr">
        <is>
          <t>+ </t>
        </is>
      </c>
      <c r="F3618" s="2" t="inlineStr">
        <is>
          <t>+ </t>
        </is>
      </c>
      <c r="H3618" s="2">
        <v>537</v>
      </c>
      <c r="I3618" s="2" t="inlineStr">
        <is>
          <t>$</t>
        </is>
      </c>
      <c r="J3618" s="2">
        <f>HYPERLINK("https://app.astro.lead-studio.pro/product/b971978e-aac1-45b1-b0d6-904f599ecc65")</f>
      </c>
    </row>
    <row r="3619" spans="1:10" customHeight="0">
      <c r="A3619" s="2" t="inlineStr">
        <is>
          <t>Ноутбуки</t>
        </is>
      </c>
      <c r="B3619" s="2" t="inlineStr">
        <is>
          <t>ACER</t>
        </is>
      </c>
      <c r="C3619" s="2" t="inlineStr">
        <is>
          <t>NX.EH3CD.00A</t>
        </is>
      </c>
      <c r="D3619" s="2" t="inlineStr">
        <is>
          <t>Ноутбук Acer Extensa 15 EX215-23-R8XF Ryzen 5 7520U 16Gb SSD1Tb AMD Radeon 610M 15.6" IPS FHD (1920x1080) без ОС grey WiFi BT Cam (NX.EH3CD.00A)</t>
        </is>
      </c>
      <c r="E3619" s="2" t="inlineStr">
        <is>
          <t>+ </t>
        </is>
      </c>
      <c r="F3619" s="2" t="inlineStr">
        <is>
          <t>+ </t>
        </is>
      </c>
      <c r="H3619" s="2">
        <v>598</v>
      </c>
      <c r="I3619" s="2" t="inlineStr">
        <is>
          <t>$</t>
        </is>
      </c>
      <c r="J3619" s="2">
        <f>HYPERLINK("https://app.astro.lead-studio.pro/product/c84a6af0-be97-44b6-b0e2-7ef8f093cd8d")</f>
      </c>
    </row>
    <row r="3620" spans="1:10" customHeight="0">
      <c r="A3620" s="2" t="inlineStr">
        <is>
          <t>Ноутбуки</t>
        </is>
      </c>
      <c r="B3620" s="2" t="inlineStr">
        <is>
          <t>ACER</t>
        </is>
      </c>
      <c r="C3620" s="2" t="inlineStr">
        <is>
          <t>NX.EH3CD.001</t>
        </is>
      </c>
      <c r="D3620" s="2" t="inlineStr">
        <is>
          <t>Ноутбук Acer Extensa 15 EX215-23-R94H Ryzen 5 7520U 8Gb SSD512Gb AMD Radeon 610M 15.6" IPS FHD (1920x1080) Windows 11 Home grey WiFi BT Cam (NX.EH3CD.001)</t>
        </is>
      </c>
      <c r="E3620" s="2" t="inlineStr">
        <is>
          <t>+ </t>
        </is>
      </c>
      <c r="F3620" s="2" t="inlineStr">
        <is>
          <t>+ </t>
        </is>
      </c>
      <c r="H3620" s="2">
        <v>561</v>
      </c>
      <c r="I3620" s="2" t="inlineStr">
        <is>
          <t>$</t>
        </is>
      </c>
      <c r="J3620" s="2">
        <f>HYPERLINK("https://app.astro.lead-studio.pro/product/89f83903-e143-4622-8347-ed99c350f2e6")</f>
      </c>
    </row>
    <row r="3621" spans="1:10" customHeight="0">
      <c r="A3621" s="2" t="inlineStr">
        <is>
          <t>Ноутбуки</t>
        </is>
      </c>
      <c r="B3621" s="2" t="inlineStr">
        <is>
          <t>ACER</t>
        </is>
      </c>
      <c r="C3621" s="2" t="inlineStr">
        <is>
          <t>NX.EH3CD.00G</t>
        </is>
      </c>
      <c r="D3621" s="2" t="inlineStr">
        <is>
          <t>Ноутбук Acer Extensa 15 EX215-23-R95C Ryzen 3 7320U 8Gb SSD256Gb AMD Radeon 610M 15.6" TN FHD (1920x1080) noOS grey WiFi BT Cam (NX.EH3CD.00G)</t>
        </is>
      </c>
      <c r="E3621" s="2" t="inlineStr">
        <is>
          <t>+ </t>
        </is>
      </c>
      <c r="F3621" s="2" t="inlineStr">
        <is>
          <t>+ </t>
        </is>
      </c>
      <c r="H3621" s="2">
        <v>427</v>
      </c>
      <c r="I3621" s="2" t="inlineStr">
        <is>
          <t>$</t>
        </is>
      </c>
      <c r="J3621" s="2">
        <f>HYPERLINK("https://app.astro.lead-studio.pro/product/f3d6ad12-8411-4374-afec-476f7c5954bc")</f>
      </c>
    </row>
    <row r="3622" spans="1:10" customHeight="0">
      <c r="A3622" s="2" t="inlineStr">
        <is>
          <t>Ноутбуки</t>
        </is>
      </c>
      <c r="B3622" s="2" t="inlineStr">
        <is>
          <t>ACER</t>
        </is>
      </c>
      <c r="C3622" s="2" t="inlineStr">
        <is>
          <t>NX.EH3CD.00E</t>
        </is>
      </c>
      <c r="D3622" s="2" t="inlineStr">
        <is>
          <t>Ноутбук Acer Extensa 15 EX215-23-R9DA Ryzen 3 7320U 16Gb SSD512Gb AMD Radeon 15.6" IPS FHD (1920x1080) Windows 11 Home grey WiFi BT Cam (NX.EH3CD.00E)</t>
        </is>
      </c>
      <c r="E3622" s="2" t="inlineStr">
        <is>
          <t>+ </t>
        </is>
      </c>
      <c r="F3622" s="2" t="inlineStr">
        <is>
          <t>+ </t>
        </is>
      </c>
      <c r="H3622" s="2">
        <v>632</v>
      </c>
      <c r="I3622" s="2" t="inlineStr">
        <is>
          <t>$</t>
        </is>
      </c>
      <c r="J3622" s="2">
        <f>HYPERLINK("https://app.astro.lead-studio.pro/product/ac371878-261e-4a7b-9cdb-817bfe8fe09f")</f>
      </c>
    </row>
    <row r="3623" spans="1:10" customHeight="0">
      <c r="A3623" s="2" t="inlineStr">
        <is>
          <t>Ноутбуки</t>
        </is>
      </c>
      <c r="B3623" s="2" t="inlineStr">
        <is>
          <t>ACER</t>
        </is>
      </c>
      <c r="C3623" s="2" t="inlineStr">
        <is>
          <t>NX.EH3CD.008</t>
        </is>
      </c>
      <c r="D3623" s="2" t="inlineStr">
        <is>
          <t>Ноутбук Acer Extensa 15 EX215-23 Ryzen 3 7320U 8Gb SSD256Gb AMD Radeon 610M 15.6" IPS FHD (1920x1080) noOS grey WiFi BT Cam 4500mAh (NX.EH3CD.008)</t>
        </is>
      </c>
      <c r="E3623" s="2" t="inlineStr">
        <is>
          <t>+ </t>
        </is>
      </c>
      <c r="F3623" s="2" t="inlineStr">
        <is>
          <t>+ </t>
        </is>
      </c>
      <c r="H3623" s="2">
        <v>443</v>
      </c>
      <c r="I3623" s="2" t="inlineStr">
        <is>
          <t>$</t>
        </is>
      </c>
      <c r="J3623" s="2">
        <f>HYPERLINK("https://app.astro.lead-studio.pro/product/cc910a15-b944-4639-acdf-a4561ccd8ae1")</f>
      </c>
    </row>
    <row r="3624" spans="1:10" customHeight="0">
      <c r="A3624" s="2" t="inlineStr">
        <is>
          <t>Ноутбуки</t>
        </is>
      </c>
      <c r="B3624" s="2" t="inlineStr">
        <is>
          <t>ACER</t>
        </is>
      </c>
      <c r="C3624" s="2" t="inlineStr">
        <is>
          <t>NX.EHTCD.007</t>
        </is>
      </c>
      <c r="D3624" s="2" t="inlineStr">
        <is>
          <t>Ноутбук Acer Extensa 15 EX215-34-3117 Core i3 N305 8Gb SSD256Gb Intel UHD Graphics 15.6" TN FHD (1920x1080) без ОС silver WiFi BT Cam (NX.EHTCD.007)</t>
        </is>
      </c>
      <c r="E3624" s="2" t="inlineStr">
        <is>
          <t>+ </t>
        </is>
      </c>
      <c r="F3624" s="2" t="inlineStr">
        <is>
          <t>+ </t>
        </is>
      </c>
      <c r="H3624" s="2">
        <v>441</v>
      </c>
      <c r="I3624" s="2" t="inlineStr">
        <is>
          <t>$</t>
        </is>
      </c>
      <c r="J3624" s="2">
        <f>HYPERLINK("https://app.astro.lead-studio.pro/product/796e5e89-69c4-4875-97de-fb1804552c04")</f>
      </c>
    </row>
    <row r="3625" spans="1:10" customHeight="0">
      <c r="A3625" s="2" t="inlineStr">
        <is>
          <t>Ноутбуки</t>
        </is>
      </c>
      <c r="B3625" s="2" t="inlineStr">
        <is>
          <t>ACER</t>
        </is>
      </c>
      <c r="C3625" s="2" t="inlineStr">
        <is>
          <t>NX.EHTCD.003</t>
        </is>
      </c>
      <c r="D3625" s="2" t="inlineStr">
        <is>
          <t>Ноутбук Acer Extensa 15 EX215-34-32RU Core i3 N305 16Gb SSD512Gb Intel UHD Graphics 15.6" IPS FHD (1920x1080) без ОС silver WiFi BT Cam (NX.EHTCD.003)</t>
        </is>
      </c>
      <c r="E3625" s="2" t="inlineStr">
        <is>
          <t>+ </t>
        </is>
      </c>
      <c r="F3625" s="2" t="inlineStr">
        <is>
          <t>+ </t>
        </is>
      </c>
      <c r="H3625" s="2">
        <v>505</v>
      </c>
      <c r="I3625" s="2" t="inlineStr">
        <is>
          <t>$</t>
        </is>
      </c>
      <c r="J3625" s="2">
        <f>HYPERLINK("https://app.astro.lead-studio.pro/product/0a853939-b570-496d-a198-66681285d451")</f>
      </c>
    </row>
    <row r="3626" spans="1:10" customHeight="0">
      <c r="A3626" s="2" t="inlineStr">
        <is>
          <t>Ноутбуки</t>
        </is>
      </c>
      <c r="B3626" s="2" t="inlineStr">
        <is>
          <t>ACER</t>
        </is>
      </c>
      <c r="C3626" s="2" t="inlineStr">
        <is>
          <t>NX.EHTCD.008</t>
        </is>
      </c>
      <c r="D3626" s="2" t="inlineStr">
        <is>
          <t>Ноутбук Acer Extensa 15 EX215-34-33AF Core i3 N305 16Gb SSD512Gb Intel UHD Graphics 15.6" TN FHD (1920x1080) без ОС silver WiFi BT Cam (NX.EHTCD.008)</t>
        </is>
      </c>
      <c r="E3626" s="2" t="inlineStr">
        <is>
          <t>+ </t>
        </is>
      </c>
      <c r="F3626" s="2" t="inlineStr">
        <is>
          <t>+ </t>
        </is>
      </c>
      <c r="H3626" s="2">
        <v>501</v>
      </c>
      <c r="I3626" s="2" t="inlineStr">
        <is>
          <t>$</t>
        </is>
      </c>
      <c r="J3626" s="2">
        <f>HYPERLINK("https://app.astro.lead-studio.pro/product/e9a1878a-1a14-40e8-bbe0-c30cd034650f")</f>
      </c>
    </row>
    <row r="3627" spans="1:10" customHeight="0">
      <c r="A3627" s="2" t="inlineStr">
        <is>
          <t>Ноутбуки</t>
        </is>
      </c>
      <c r="B3627" s="2" t="inlineStr">
        <is>
          <t>ACER</t>
        </is>
      </c>
      <c r="C3627" s="2" t="inlineStr">
        <is>
          <t>NX.EHTCD.004</t>
        </is>
      </c>
      <c r="D3627" s="2" t="inlineStr">
        <is>
          <t>Ноутбук Acer Extensa 15 EX215-34-34Z7 Core i3 N305 8Gb SSD512Gb Intel UHD Graphics 15.6" IPS FHD (1920x1080) без ОС silver WiFi BT Cam (NX.EHTCD.004)</t>
        </is>
      </c>
      <c r="E3627" s="2" t="inlineStr">
        <is>
          <t>+ </t>
        </is>
      </c>
      <c r="F3627" s="2" t="inlineStr">
        <is>
          <t>+ </t>
        </is>
      </c>
      <c r="H3627" s="2">
        <v>452</v>
      </c>
      <c r="I3627" s="2" t="inlineStr">
        <is>
          <t>$</t>
        </is>
      </c>
      <c r="J3627" s="2">
        <f>HYPERLINK("https://app.astro.lead-studio.pro/product/ce875045-54ef-4485-9bb4-0a8031fde84c")</f>
      </c>
    </row>
    <row r="3628" spans="1:10" customHeight="0">
      <c r="A3628" s="2" t="inlineStr">
        <is>
          <t>Ноутбуки</t>
        </is>
      </c>
      <c r="B3628" s="2" t="inlineStr">
        <is>
          <t>ACER</t>
        </is>
      </c>
      <c r="C3628" s="2" t="inlineStr">
        <is>
          <t>NX.EHNCD.006</t>
        </is>
      </c>
      <c r="D3628" s="2" t="inlineStr">
        <is>
          <t>Ноутбук Acer Extensa 15 EX215-34-36NE Core i3 N305 8Gb SSD512Gb Intel UHD Graphics 15.6" IPS FHD (1920x1080) Windows 11 Home silver WiFi BT Cam (NX.EHNCD.006)</t>
        </is>
      </c>
      <c r="E3628" s="2" t="inlineStr">
        <is>
          <t>+ </t>
        </is>
      </c>
      <c r="F3628" s="2" t="inlineStr">
        <is>
          <t>+ </t>
        </is>
      </c>
      <c r="H3628" s="2">
        <v>539</v>
      </c>
      <c r="I3628" s="2" t="inlineStr">
        <is>
          <t>$</t>
        </is>
      </c>
      <c r="J3628" s="2">
        <f>HYPERLINK("https://app.astro.lead-studio.pro/product/232a24c2-61f1-4b3c-abcf-a594f95f288f")</f>
      </c>
    </row>
    <row r="3629" spans="1:10" customHeight="0">
      <c r="A3629" s="2" t="inlineStr">
        <is>
          <t>Ноутбуки</t>
        </is>
      </c>
      <c r="B3629" s="2" t="inlineStr">
        <is>
          <t>ACER</t>
        </is>
      </c>
      <c r="C3629" s="2" t="inlineStr">
        <is>
          <t>NX.EHTCD.002</t>
        </is>
      </c>
      <c r="D3629" s="2" t="inlineStr">
        <is>
          <t>Ноутбук Acer Extensa 15 EX215-34-C2LD N-series N100 8Gb SSD512Gb Intel UHD Graphics 15.6" IPS FHD (1920x1080) без ОС silver WiFi BT Cam (NX.EHTCD.002)</t>
        </is>
      </c>
      <c r="E3629" s="2" t="inlineStr">
        <is>
          <t>+ </t>
        </is>
      </c>
      <c r="F3629" s="2" t="inlineStr">
        <is>
          <t>+ </t>
        </is>
      </c>
      <c r="H3629" s="2">
        <v>379</v>
      </c>
      <c r="I3629" s="2" t="inlineStr">
        <is>
          <t>$</t>
        </is>
      </c>
      <c r="J3629" s="2">
        <f>HYPERLINK("https://app.astro.lead-studio.pro/product/783ff308-461c-48f8-b932-2bd7db181485")</f>
      </c>
    </row>
    <row r="3630" spans="1:10" customHeight="0">
      <c r="A3630" s="2" t="inlineStr">
        <is>
          <t>Ноутбуки</t>
        </is>
      </c>
      <c r="B3630" s="2" t="inlineStr">
        <is>
          <t>ACER</t>
        </is>
      </c>
      <c r="C3630" s="2" t="inlineStr">
        <is>
          <t>NX.EHTCD.006</t>
        </is>
      </c>
      <c r="D3630" s="2" t="inlineStr">
        <is>
          <t>Ноутбук Acer Extensa 15 EX215-34-C6UB N-series N100 8Gb SSD256Gb Intel UHD Graphics 15.6" TN FHD (1920x1080) без ОС silver WiFi BT Cam (NX.EHTCD.006)</t>
        </is>
      </c>
      <c r="E3630" s="2" t="inlineStr">
        <is>
          <t>+ </t>
        </is>
      </c>
      <c r="F3630" s="2" t="inlineStr">
        <is>
          <t>+ </t>
        </is>
      </c>
      <c r="H3630" s="2">
        <v>363</v>
      </c>
      <c r="I3630" s="2" t="inlineStr">
        <is>
          <t>$</t>
        </is>
      </c>
      <c r="J3630" s="2">
        <f>HYPERLINK("https://app.astro.lead-studio.pro/product/4b827158-a7ce-42b7-a11f-eb4fba83b417")</f>
      </c>
    </row>
    <row r="3631" spans="1:10" customHeight="0">
      <c r="A3631" s="2" t="inlineStr">
        <is>
          <t>Ноутбуки</t>
        </is>
      </c>
      <c r="B3631" s="2" t="inlineStr">
        <is>
          <t>ACER</t>
        </is>
      </c>
      <c r="C3631" s="2" t="inlineStr">
        <is>
          <t>NX.EHTCD.009</t>
        </is>
      </c>
      <c r="D3631" s="2" t="inlineStr">
        <is>
          <t>Ноутбук Acer Extensa 15 EX215-34-P16A N-series N200 16Gb SSD256Gb Intel UHD Graphics 15.6" IPS FHD (1920x1080) без ОС silver WiFi BT Cam (NX.EHTCD.009)</t>
        </is>
      </c>
      <c r="E3631" s="2" t="inlineStr">
        <is>
          <t>+ </t>
        </is>
      </c>
      <c r="F3631" s="2" t="inlineStr">
        <is>
          <t>+ </t>
        </is>
      </c>
      <c r="H3631" s="2">
        <v>446</v>
      </c>
      <c r="I3631" s="2" t="inlineStr">
        <is>
          <t>$</t>
        </is>
      </c>
      <c r="J3631" s="2">
        <f>HYPERLINK("https://app.astro.lead-studio.pro/product/3da081db-a3f2-409c-9519-8777cbbfb9ff")</f>
      </c>
    </row>
    <row r="3632" spans="1:10" customHeight="0">
      <c r="A3632" s="2" t="inlineStr">
        <is>
          <t>Ноутбуки</t>
        </is>
      </c>
      <c r="B3632" s="2" t="inlineStr">
        <is>
          <t>ACER</t>
        </is>
      </c>
      <c r="C3632" s="2" t="inlineStr">
        <is>
          <t>NH.QNACD.009</t>
        </is>
      </c>
      <c r="D3632" s="2" t="inlineStr">
        <is>
          <t>Ноутбук Acer Nitro V 15 ANV15-51-51AT Core i5 13420H 16Gb SSD512Gb NVIDIA GeForce RTX 2050 4Gb 15.6" IPS FHD (1920x1080) без ОС black WiFi BT Cam (NH.QNACD.009)</t>
        </is>
      </c>
      <c r="E3632" s="2" t="inlineStr">
        <is>
          <t>+ </t>
        </is>
      </c>
      <c r="F3632" s="2" t="inlineStr">
        <is>
          <t>+ </t>
        </is>
      </c>
      <c r="H3632" s="2">
        <v>854</v>
      </c>
      <c r="I3632" s="2" t="inlineStr">
        <is>
          <t>$</t>
        </is>
      </c>
      <c r="J3632" s="2">
        <f>HYPERLINK("https://app.astro.lead-studio.pro/product/aa5c866d-1ed1-46b9-8077-8913cd59f5e8")</f>
      </c>
    </row>
    <row r="3633" spans="1:10" customHeight="0">
      <c r="A3633" s="2" t="inlineStr">
        <is>
          <t>Ноутбуки</t>
        </is>
      </c>
      <c r="B3633" s="2" t="inlineStr">
        <is>
          <t>ACER</t>
        </is>
      </c>
      <c r="C3633" s="2" t="inlineStr">
        <is>
          <t>NX.KTSCD.003</t>
        </is>
      </c>
      <c r="D3633" s="2" t="inlineStr">
        <is>
          <t>Ноутбук Acer Swift Go 14 SFG14-63-R57X Ryzen 7 8845HS 16Gb SSD1Tb AMD Radeon 780M 14" OLED 2.8K (2880x1800) Windows 11 Home metall WiFi BT Cam (NX.KTSCD.003)</t>
        </is>
      </c>
      <c r="E3633" s="2" t="inlineStr">
        <is>
          <t>+ </t>
        </is>
      </c>
      <c r="F3633" s="2" t="inlineStr">
        <is>
          <t>+ </t>
        </is>
      </c>
      <c r="H3633" s="2">
        <v>1180</v>
      </c>
      <c r="I3633" s="2" t="inlineStr">
        <is>
          <t>$</t>
        </is>
      </c>
      <c r="J3633" s="2">
        <f>HYPERLINK("https://app.astro.lead-studio.pro/product/17e47398-5d0d-460d-be18-cd70076b78c3")</f>
      </c>
    </row>
    <row r="3634" spans="1:10" customHeight="0">
      <c r="A3634" s="2" t="inlineStr">
        <is>
          <t>Ноутбуки</t>
        </is>
      </c>
      <c r="B3634" s="2" t="inlineStr">
        <is>
          <t>ACER</t>
        </is>
      </c>
      <c r="C3634" s="2" t="inlineStr">
        <is>
          <t>NX.KTSCD.002</t>
        </is>
      </c>
      <c r="D3634" s="2" t="inlineStr">
        <is>
          <t>Ноутбук Acer Swift Go 14 SFG14-63-R8U9 Ryzen 5 8645HS 16Gb SSD1Tb AMD Radeon 14" OLED 2.8K (2880x1800) Windows 11 Home metall WiFi BT Cam (NX.KTSCD.002)</t>
        </is>
      </c>
      <c r="E3634" s="2" t="inlineStr">
        <is>
          <t>+ </t>
        </is>
      </c>
      <c r="F3634" s="2" t="inlineStr">
        <is>
          <t>+ </t>
        </is>
      </c>
      <c r="H3634" s="2">
        <v>1104</v>
      </c>
      <c r="I3634" s="2" t="inlineStr">
        <is>
          <t>$</t>
        </is>
      </c>
      <c r="J3634" s="2">
        <f>HYPERLINK("https://app.astro.lead-studio.pro/product/835754f1-9267-4f01-b258-49fb36bdb77b")</f>
      </c>
    </row>
    <row r="3635" spans="1:10" customHeight="0">
      <c r="A3635" s="2" t="inlineStr">
        <is>
          <t>Ноутбуки</t>
        </is>
      </c>
      <c r="B3635" s="2" t="inlineStr">
        <is>
          <t>ACER</t>
        </is>
      </c>
      <c r="C3635" s="2" t="inlineStr">
        <is>
          <t>NX.KV4CD.001</t>
        </is>
      </c>
      <c r="D3635" s="2" t="inlineStr">
        <is>
          <t>Ноутбук Acer Swift Go 14 SFG14-73 Core Ultra 7 155H 16Gb SSD1Tb Intel Arc 14" IPS 2.8K (2880x1800) Windows 11 Home silver WiFi BT Cam (NX.KV4CD.001)</t>
        </is>
      </c>
      <c r="E3635" s="2" t="inlineStr">
        <is>
          <t>+ </t>
        </is>
      </c>
      <c r="F3635" s="2" t="inlineStr">
        <is>
          <t>+ </t>
        </is>
      </c>
      <c r="H3635" s="2">
        <v>1199</v>
      </c>
      <c r="I3635" s="2" t="inlineStr">
        <is>
          <t>$</t>
        </is>
      </c>
      <c r="J3635" s="2">
        <f>HYPERLINK("https://app.astro.lead-studio.pro/product/8409d0f2-ea1b-47a8-aac3-166f1843f53c")</f>
      </c>
    </row>
    <row r="3636" spans="1:10" customHeight="0">
      <c r="A3636" s="2" t="inlineStr">
        <is>
          <t>Ноутбуки</t>
        </is>
      </c>
      <c r="B3636" s="2" t="inlineStr">
        <is>
          <t>ACER</t>
        </is>
      </c>
      <c r="C3636" s="2" t="inlineStr">
        <is>
          <t>NX.KUBCD.001</t>
        </is>
      </c>
      <c r="D3636" s="2" t="inlineStr">
        <is>
          <t>Ноутбук Acer Swift Go 16 SFG16-72-790F Core Ultra 7 155H 16Gb SSD1Tb Intel Arc 16" IPS WQXGA (2560x1600) Windows 11 Home metall WiFi BT Cam (NX.KUBCD.001)</t>
        </is>
      </c>
      <c r="E3636" s="2" t="inlineStr">
        <is>
          <t>+ </t>
        </is>
      </c>
      <c r="F3636" s="2" t="inlineStr">
        <is>
          <t>+ </t>
        </is>
      </c>
      <c r="H3636" s="2">
        <v>1274</v>
      </c>
      <c r="I3636" s="2" t="inlineStr">
        <is>
          <t>$</t>
        </is>
      </c>
      <c r="J3636" s="2">
        <f>HYPERLINK("https://app.astro.lead-studio.pro/product/a7e27b2d-0058-4d69-9269-601bd74039e6")</f>
      </c>
    </row>
    <row r="3637" spans="1:10" customHeight="0">
      <c r="A3637" s="2" t="inlineStr">
        <is>
          <t>Ноутбуки</t>
        </is>
      </c>
      <c r="B3637" s="2" t="inlineStr">
        <is>
          <t>ACER</t>
        </is>
      </c>
      <c r="C3637" s="2" t="inlineStr">
        <is>
          <t>NX.KTUCD.001</t>
        </is>
      </c>
      <c r="D3637" s="2" t="inlineStr">
        <is>
          <t>Ноутбук Acer Swift X 14 SFX14-72G-72DH Core Ultra 7 155H 32Gb SSD1Tb NVIDIA GeForce RTX4070 8Gb 14.5" OLED WQXGA+ (2880x1800) Windows 11 metall WiFi BT Cam (NX.KTUCD.001)</t>
        </is>
      </c>
      <c r="E3637" s="2" t="inlineStr">
        <is>
          <t>+ </t>
        </is>
      </c>
      <c r="F3637" s="2" t="inlineStr">
        <is>
          <t>+ </t>
        </is>
      </c>
      <c r="H3637" s="2">
        <v>2441</v>
      </c>
      <c r="I3637" s="2" t="inlineStr">
        <is>
          <t>$</t>
        </is>
      </c>
      <c r="J3637" s="2">
        <f>HYPERLINK("https://app.astro.lead-studio.pro/product/d3a0fa54-b0cf-4f28-a067-106ed3a9e6eb")</f>
      </c>
    </row>
    <row r="3638" spans="1:10" customHeight="0">
      <c r="A3638" s="2" t="inlineStr">
        <is>
          <t>Ноутбуки</t>
        </is>
      </c>
      <c r="B3638" s="2" t="inlineStr">
        <is>
          <t>ACER</t>
        </is>
      </c>
      <c r="C3638" s="2" t="inlineStr">
        <is>
          <t>NX.BDDCD.001</t>
        </is>
      </c>
      <c r="D3638" s="2" t="inlineStr">
        <is>
          <t>Ноутбук Acer TravelMate P2 TMP216-51-G2 Core i5 1335U 16Gb SSD512Gb Intel Iris Xe graphics 16" IPS WUXGA (1920x1200) noOS black WiFi BT Cam (NX.BDDCD.001)</t>
        </is>
      </c>
      <c r="E3638" s="2" t="inlineStr">
        <is>
          <t>++ </t>
        </is>
      </c>
      <c r="F3638" s="2" t="inlineStr">
        <is>
          <t>++ </t>
        </is>
      </c>
      <c r="H3638" s="2">
        <v>980</v>
      </c>
      <c r="I3638" s="2" t="inlineStr">
        <is>
          <t>$</t>
        </is>
      </c>
      <c r="J3638" s="2">
        <f>HYPERLINK("https://app.astro.lead-studio.pro/product/c999825c-0d0c-4348-8241-7a7b02f5bf75")</f>
      </c>
    </row>
    <row r="3639" spans="1:10" customHeight="0">
      <c r="A3639" s="2" t="inlineStr">
        <is>
          <t>Ноутбуки</t>
        </is>
      </c>
      <c r="B3639" s="2" t="inlineStr">
        <is>
          <t>APPLE</t>
        </is>
      </c>
      <c r="C3639" s="2" t="inlineStr">
        <is>
          <t>MGN63HN/A</t>
        </is>
      </c>
      <c r="D3639" s="2" t="inlineStr">
        <is>
          <t>Ноутбук Apple MacBook Air A2337 M1 8 core 8Gb SSD256Gb/7 core GPU 13.3" IPS (2560x1600) macOS grey space WiFi BT Cam (MGN63HN/A)</t>
        </is>
      </c>
      <c r="E3639" s="2" t="inlineStr">
        <is>
          <t>+ </t>
        </is>
      </c>
      <c r="F3639" s="2" t="inlineStr">
        <is>
          <t>+ </t>
        </is>
      </c>
      <c r="H3639" s="2">
        <v>903</v>
      </c>
      <c r="I3639" s="2" t="inlineStr">
        <is>
          <t>$</t>
        </is>
      </c>
      <c r="J3639" s="2">
        <f>HYPERLINK("https://app.astro.lead-studio.pro/product/338feb82-f101-43a0-be58-201d808f65ef")</f>
      </c>
    </row>
    <row r="3640" spans="1:10" customHeight="0">
      <c r="A3640" s="2" t="inlineStr">
        <is>
          <t>Ноутбуки</t>
        </is>
      </c>
      <c r="B3640" s="2" t="inlineStr">
        <is>
          <t>APPLE</t>
        </is>
      </c>
      <c r="C3640" s="2" t="inlineStr">
        <is>
          <t>MC7X4LL/A</t>
        </is>
      </c>
      <c r="D3640" s="2" t="inlineStr">
        <is>
          <t>Ноутбук Apple MacBook Air A2681 M2 8 core 16Gb SSD256Gb/8 core GPU 13.6" IPS (2560x1664) Mac OS midnight WiFi BT Cam (MC7X4LL/A)</t>
        </is>
      </c>
      <c r="E3640" s="2" t="inlineStr">
        <is>
          <t>+ </t>
        </is>
      </c>
      <c r="F3640" s="2" t="inlineStr">
        <is>
          <t>+ </t>
        </is>
      </c>
      <c r="H3640" s="2">
        <v>1419</v>
      </c>
      <c r="I3640" s="2" t="inlineStr">
        <is>
          <t>$</t>
        </is>
      </c>
      <c r="J3640" s="2">
        <f>HYPERLINK("https://app.astro.lead-studio.pro/product/f51d7442-06c7-48fe-af63-07f53cda6ba6")</f>
      </c>
    </row>
    <row r="3641" spans="1:10" customHeight="0">
      <c r="A3641" s="2" t="inlineStr">
        <is>
          <t>Ноутбуки</t>
        </is>
      </c>
      <c r="B3641" s="2" t="inlineStr">
        <is>
          <t>APPLE</t>
        </is>
      </c>
      <c r="C3641" s="2" t="inlineStr">
        <is>
          <t>MC7U4LL/A</t>
        </is>
      </c>
      <c r="D3641" s="2" t="inlineStr">
        <is>
          <t>Ноутбук Apple MacBook Air A2681 M2 8 core 16Gb SSD256Gb/8 core GPU 13.6" Retina (2560x1664) Mac OS grey space WiFi BT Cam (MC7U4LL/A)</t>
        </is>
      </c>
      <c r="E3641" s="2" t="inlineStr">
        <is>
          <t>+ </t>
        </is>
      </c>
      <c r="F3641" s="2" t="inlineStr">
        <is>
          <t>+ </t>
        </is>
      </c>
      <c r="H3641" s="2">
        <v>1415</v>
      </c>
      <c r="I3641" s="2" t="inlineStr">
        <is>
          <t>$</t>
        </is>
      </c>
      <c r="J3641" s="2">
        <f>HYPERLINK("https://app.astro.lead-studio.pro/product/440db144-ce2f-4daa-ba2f-11a6bc333dcf")</f>
      </c>
    </row>
    <row r="3642" spans="1:10" customHeight="0">
      <c r="A3642" s="2" t="inlineStr">
        <is>
          <t>Ноутбуки</t>
        </is>
      </c>
      <c r="B3642" s="2" t="inlineStr">
        <is>
          <t>APPLE</t>
        </is>
      </c>
      <c r="C3642" s="2" t="inlineStr">
        <is>
          <t>MC7U4ZP/A</t>
        </is>
      </c>
      <c r="D3642" s="2" t="inlineStr">
        <is>
          <t>Ноутбук Apple MacBook Air A2681 M2 8 core 16Gb SSD256Gb/8 core GPU 13.6" Retina (2560x1664) Mac OS grey space WiFi BT Cam (MC7U4ZP/A)</t>
        </is>
      </c>
      <c r="E3642" s="2" t="inlineStr">
        <is>
          <t>+ </t>
        </is>
      </c>
      <c r="F3642" s="2" t="inlineStr">
        <is>
          <t>+ </t>
        </is>
      </c>
      <c r="H3642" s="2">
        <v>1399</v>
      </c>
      <c r="I3642" s="2" t="inlineStr">
        <is>
          <t>$</t>
        </is>
      </c>
      <c r="J3642" s="2">
        <f>HYPERLINK("https://app.astro.lead-studio.pro/product/bd3fb9cb-d8e0-4798-be2f-1058e2600ee3")</f>
      </c>
    </row>
    <row r="3643" spans="1:10" customHeight="0">
      <c r="A3643" s="2" t="inlineStr">
        <is>
          <t>Ноутбуки</t>
        </is>
      </c>
      <c r="B3643" s="2" t="inlineStr">
        <is>
          <t>APPLE</t>
        </is>
      </c>
      <c r="C3643" s="2" t="inlineStr">
        <is>
          <t>MC7V4LL/A</t>
        </is>
      </c>
      <c r="D3643" s="2" t="inlineStr">
        <is>
          <t>Ноутбук Apple MacBook Air A2681 M2 8 core 16Gb SSD256Gb/8 core GPU 13.6" Retina (2560x1664) Mac OS silver WiFi BT Cam (MC7V4LL/A)</t>
        </is>
      </c>
      <c r="E3643" s="2" t="inlineStr">
        <is>
          <t>+ </t>
        </is>
      </c>
      <c r="F3643" s="2" t="inlineStr">
        <is>
          <t>+ </t>
        </is>
      </c>
      <c r="H3643" s="2">
        <v>1429</v>
      </c>
      <c r="I3643" s="2" t="inlineStr">
        <is>
          <t>$</t>
        </is>
      </c>
      <c r="J3643" s="2">
        <f>HYPERLINK("https://app.astro.lead-studio.pro/product/119d1ee4-2eb8-475c-8261-ba0630a75be0")</f>
      </c>
    </row>
    <row r="3644" spans="1:10" customHeight="0">
      <c r="A3644" s="2" t="inlineStr">
        <is>
          <t>Ноутбуки</t>
        </is>
      </c>
      <c r="B3644" s="2" t="inlineStr">
        <is>
          <t>APPLE</t>
        </is>
      </c>
      <c r="C3644" s="2" t="inlineStr">
        <is>
          <t>MLY33ZP/A</t>
        </is>
      </c>
      <c r="D3644" s="2" t="inlineStr">
        <is>
          <t>Ноутбук Apple MacBook Air A2681 M2 8 core 8Gb SSD256Gb/8 core GPU 13.6" IPS (2560x1664) macOS midnight WiFi BT Cam (MLY33ZP/A)</t>
        </is>
      </c>
      <c r="E3644" s="2" t="inlineStr">
        <is>
          <t>+ </t>
        </is>
      </c>
      <c r="F3644" s="2" t="inlineStr">
        <is>
          <t>+ </t>
        </is>
      </c>
      <c r="H3644" s="2">
        <v>1271</v>
      </c>
      <c r="I3644" s="2" t="inlineStr">
        <is>
          <t>$</t>
        </is>
      </c>
      <c r="J3644" s="2">
        <f>HYPERLINK("https://app.astro.lead-studio.pro/product/0b9e7c44-086b-4d5b-9ce4-b694543cea6f")</f>
      </c>
    </row>
    <row r="3645" spans="1:10" customHeight="0">
      <c r="A3645" s="2" t="inlineStr">
        <is>
          <t>Ноутбуки</t>
        </is>
      </c>
      <c r="B3645" s="2" t="inlineStr">
        <is>
          <t>APPLE</t>
        </is>
      </c>
      <c r="C3645" s="2" t="inlineStr">
        <is>
          <t>MC8H4LL/A</t>
        </is>
      </c>
      <c r="D3645" s="2" t="inlineStr">
        <is>
          <t>Ноутбук Apple MacBook Air A3113 M3 8 core 16Gb SSD256Gb/8 core GPU 13.6" Liquid Retina (2560x1664) Mac OS silver WiFi BT Cam (MC8H4LL/A)</t>
        </is>
      </c>
      <c r="E3645" s="2" t="inlineStr">
        <is>
          <t>+ </t>
        </is>
      </c>
      <c r="F3645" s="2" t="inlineStr">
        <is>
          <t>+ </t>
        </is>
      </c>
      <c r="H3645" s="2">
        <v>1648</v>
      </c>
      <c r="I3645" s="2" t="inlineStr">
        <is>
          <t>$</t>
        </is>
      </c>
      <c r="J3645" s="2">
        <f>HYPERLINK("https://app.astro.lead-studio.pro/product/24610c79-645e-4846-9765-0a0e95f08c91")</f>
      </c>
    </row>
    <row r="3646" spans="1:10" customHeight="0">
      <c r="A3646" s="2" t="inlineStr">
        <is>
          <t>Ноутбуки</t>
        </is>
      </c>
      <c r="B3646" s="2" t="inlineStr">
        <is>
          <t>APPLE</t>
        </is>
      </c>
      <c r="C3646" s="2" t="inlineStr">
        <is>
          <t>Z1G60003E(MXCT3)</t>
        </is>
      </c>
      <c r="D3646" s="2" t="inlineStr">
        <is>
          <t>Ноутбук Apple MacBook Air A3113 M3 8 core 16Gb SSD512Gb/10 core GPU 13.6" Liquid Retina (2560x1664) Mac OS silver WiFi BT Cam (Z1G60003E(MXCT3))</t>
        </is>
      </c>
      <c r="E3646" s="2" t="inlineStr">
        <is>
          <t>+ </t>
        </is>
      </c>
      <c r="F3646" s="2" t="inlineStr">
        <is>
          <t>+ </t>
        </is>
      </c>
      <c r="H3646" s="2">
        <v>1953</v>
      </c>
      <c r="I3646" s="2" t="inlineStr">
        <is>
          <t>$</t>
        </is>
      </c>
      <c r="J3646" s="2">
        <f>HYPERLINK("https://app.astro.lead-studio.pro/product/365f98a1-6760-49da-93b9-297460b63ccc")</f>
      </c>
    </row>
    <row r="3647" spans="1:10" customHeight="0">
      <c r="A3647" s="2" t="inlineStr">
        <is>
          <t>Ноутбуки</t>
        </is>
      </c>
      <c r="B3647" s="2" t="inlineStr">
        <is>
          <t>APPLE</t>
        </is>
      </c>
      <c r="C3647" s="2" t="inlineStr">
        <is>
          <t>MC9D4LL/A</t>
        </is>
      </c>
      <c r="D3647" s="2" t="inlineStr">
        <is>
          <t>Ноутбук Apple MacBook Air A3114 M3 8 core 16Gb SSD256Gb/10 core GPU 15.3" Liquid Retina (2880x1864) Mac OS grey space WiFi BT Cam (MC9D4LL/A)</t>
        </is>
      </c>
      <c r="E3647" s="2" t="inlineStr">
        <is>
          <t>+ </t>
        </is>
      </c>
      <c r="F3647" s="2" t="inlineStr">
        <is>
          <t>+ </t>
        </is>
      </c>
      <c r="H3647" s="2">
        <v>1930</v>
      </c>
      <c r="I3647" s="2" t="inlineStr">
        <is>
          <t>$</t>
        </is>
      </c>
      <c r="J3647" s="2">
        <f>HYPERLINK("https://app.astro.lead-studio.pro/product/d252d92c-94b6-4cd1-a10f-fc594002b5a1")</f>
      </c>
    </row>
    <row r="3648" spans="1:10" customHeight="0">
      <c r="A3648" s="2" t="inlineStr">
        <is>
          <t>Ноутбуки</t>
        </is>
      </c>
      <c r="B3648" s="2" t="inlineStr">
        <is>
          <t>APPLE</t>
        </is>
      </c>
      <c r="C3648" s="2" t="inlineStr">
        <is>
          <t>MC9G4LL/A</t>
        </is>
      </c>
      <c r="D3648" s="2" t="inlineStr">
        <is>
          <t>Ноутбук Apple MacBook Air A3114 M3 8 core 16Gb SSD256Gb/10 core GPU 15.3" Liquid Retina (2880x1864) Mac OS midnight WiFi BT Cam (MC9G4LL/A)</t>
        </is>
      </c>
      <c r="E3648" s="2" t="inlineStr">
        <is>
          <t>+ </t>
        </is>
      </c>
      <c r="F3648" s="2" t="inlineStr">
        <is>
          <t>+ </t>
        </is>
      </c>
      <c r="H3648" s="2">
        <v>1898</v>
      </c>
      <c r="I3648" s="2" t="inlineStr">
        <is>
          <t>$</t>
        </is>
      </c>
      <c r="J3648" s="2">
        <f>HYPERLINK("https://app.astro.lead-studio.pro/product/c2cad226-d61b-45d5-a909-31d122e5500c")</f>
      </c>
    </row>
    <row r="3649" spans="1:10" customHeight="0">
      <c r="A3649" s="2" t="inlineStr">
        <is>
          <t>Ноутбуки</t>
        </is>
      </c>
      <c r="B3649" s="2" t="inlineStr">
        <is>
          <t>APPLE</t>
        </is>
      </c>
      <c r="C3649" s="2" t="inlineStr">
        <is>
          <t>MXD43LL/A</t>
        </is>
      </c>
      <c r="D3649" s="2" t="inlineStr">
        <is>
          <t>Ноутбук Apple MacBook Air A3114 M3 8 core 16Gb SSD512Gb/10 core GPU 15.3" Liquid Retina (2880x1864) macOS midnight WiFi BT Cam (MXD43LL/A)</t>
        </is>
      </c>
      <c r="E3649" s="2" t="inlineStr">
        <is>
          <t>+ </t>
        </is>
      </c>
      <c r="F3649" s="2" t="inlineStr">
        <is>
          <t>+ </t>
        </is>
      </c>
      <c r="H3649" s="2">
        <v>2191</v>
      </c>
      <c r="I3649" s="2" t="inlineStr">
        <is>
          <t>$</t>
        </is>
      </c>
      <c r="J3649" s="2">
        <f>HYPERLINK("https://app.astro.lead-studio.pro/product/18ad6cc0-1041-44c5-8c99-f129563a131c")</f>
      </c>
    </row>
    <row r="3650" spans="1:10" customHeight="0">
      <c r="A3650" s="2" t="inlineStr">
        <is>
          <t>Ноутбуки</t>
        </is>
      </c>
      <c r="B3650" s="2" t="inlineStr">
        <is>
          <t>APPLE</t>
        </is>
      </c>
      <c r="C3650" s="2" t="inlineStr">
        <is>
          <t>MPHG3C/A</t>
        </is>
      </c>
      <c r="D3650" s="2" t="inlineStr">
        <is>
          <t>Ноутбук Apple MacBook Pro A2779 M2 Max 12 core 32Gb SSD1Tb/30 core GPU 14.2" Liquid Retina XDR (3024x1964) macOS grey space WiFi BT Cam (MPHG3C/A)</t>
        </is>
      </c>
      <c r="E3650" s="2" t="inlineStr">
        <is>
          <t>++ </t>
        </is>
      </c>
      <c r="F3650" s="2" t="inlineStr">
        <is>
          <t>++ </t>
        </is>
      </c>
      <c r="H3650" s="2">
        <v>3288</v>
      </c>
      <c r="I3650" s="2" t="inlineStr">
        <is>
          <t>$</t>
        </is>
      </c>
      <c r="J3650" s="2">
        <f>HYPERLINK("https://app.astro.lead-studio.pro/product/677659ea-700a-440d-8b3b-baf49085f64c")</f>
      </c>
    </row>
    <row r="3651" spans="1:10" customHeight="0">
      <c r="A3651" s="2" t="inlineStr">
        <is>
          <t>Ноутбуки</t>
        </is>
      </c>
      <c r="B3651" s="2" t="inlineStr">
        <is>
          <t>APPLE</t>
        </is>
      </c>
      <c r="C3651" s="2" t="inlineStr">
        <is>
          <t>MPHJ3C/A</t>
        </is>
      </c>
      <c r="D3651" s="2" t="inlineStr">
        <is>
          <t>Ноутбук Apple MacBook Pro A2779 M2 Pro 10 core 16Gb SSD1Tb/16 core GPU 14.2" Liquid Retina XDR (3024x1964) macOS silver WiFi BT Cam (MPHJ3C/A)</t>
        </is>
      </c>
      <c r="E3651" s="2" t="inlineStr">
        <is>
          <t>+ </t>
        </is>
      </c>
      <c r="F3651" s="2" t="inlineStr">
        <is>
          <t>+ </t>
        </is>
      </c>
      <c r="H3651" s="2">
        <v>2299</v>
      </c>
      <c r="I3651" s="2" t="inlineStr">
        <is>
          <t>$</t>
        </is>
      </c>
      <c r="J3651" s="2">
        <f>HYPERLINK("https://app.astro.lead-studio.pro/product/f091bc66-3193-40dc-bae1-54c866888cfe")</f>
      </c>
    </row>
    <row r="3652" spans="1:10" customHeight="0">
      <c r="A3652" s="2" t="inlineStr">
        <is>
          <t>Ноутбуки</t>
        </is>
      </c>
      <c r="B3652" s="2" t="inlineStr">
        <is>
          <t>APPLE</t>
        </is>
      </c>
      <c r="C3652" s="2" t="inlineStr">
        <is>
          <t>MRW33LL/A</t>
        </is>
      </c>
      <c r="D3652" s="2" t="inlineStr">
        <is>
          <t>Ноутбук Apple MacBook Pro A2991 M3 Max 14 core 36Gb SSD1Tb/30 core GPU 16.2" Liquid Retina XDR (3456x2234) macOS black WiFi BT Cam (MRW33LL/A)</t>
        </is>
      </c>
      <c r="E3652" s="2" t="inlineStr">
        <is>
          <t>+ </t>
        </is>
      </c>
      <c r="F3652" s="2" t="inlineStr">
        <is>
          <t>+ </t>
        </is>
      </c>
      <c r="H3652" s="2">
        <v>4321</v>
      </c>
      <c r="I3652" s="2" t="inlineStr">
        <is>
          <t>$</t>
        </is>
      </c>
      <c r="J3652" s="2">
        <f>HYPERLINK("https://app.astro.lead-studio.pro/product/9926aa65-f52b-45a3-85e1-c131085a9332")</f>
      </c>
    </row>
    <row r="3653" spans="1:10" customHeight="0">
      <c r="A3653" s="2" t="inlineStr">
        <is>
          <t>Ноутбуки</t>
        </is>
      </c>
      <c r="B3653" s="2" t="inlineStr">
        <is>
          <t>APPLE</t>
        </is>
      </c>
      <c r="C3653" s="2" t="inlineStr">
        <is>
          <t>MX2H3HN/A</t>
        </is>
      </c>
      <c r="D3653" s="2" t="inlineStr">
        <is>
          <t>Ноутбук Apple MacBook Pro A3401 M4 Pro 12 core 24Gb SSD512Gb/16 core GPU 14.2" Liquid Retina XDR (3024x1964) Mac OS black WiFi BT Cam (MX2H3HN/A)</t>
        </is>
      </c>
      <c r="E3653" s="2" t="inlineStr">
        <is>
          <t>++ </t>
        </is>
      </c>
      <c r="F3653" s="2" t="inlineStr">
        <is>
          <t>++ </t>
        </is>
      </c>
      <c r="H3653" s="2">
        <v>3035</v>
      </c>
      <c r="I3653" s="2" t="inlineStr">
        <is>
          <t>$</t>
        </is>
      </c>
      <c r="J3653" s="2">
        <f>HYPERLINK("https://app.astro.lead-studio.pro/product/6e602592-ad0b-4bd7-92b3-8dd8eb4c157c")</f>
      </c>
    </row>
    <row r="3654" spans="1:10" customHeight="0">
      <c r="A3654" s="2" t="inlineStr">
        <is>
          <t>Ноутбуки</t>
        </is>
      </c>
      <c r="B3654" s="2" t="inlineStr">
        <is>
          <t>APPLE</t>
        </is>
      </c>
      <c r="C3654" s="2" t="inlineStr">
        <is>
          <t>MX2E3HN/A</t>
        </is>
      </c>
      <c r="D3654" s="2" t="inlineStr">
        <is>
          <t>Ноутбук Apple MacBook Pro A3401 M4 Pro 12 core 24Gb SSD512Gb/16 core GPU 14.2" Liquid Retina XDR (3024x1964) Mac OS silver WiFi BT Cam (MX2E3HN/A)</t>
        </is>
      </c>
      <c r="E3654" s="2" t="inlineStr">
        <is>
          <t>+ </t>
        </is>
      </c>
      <c r="F3654" s="2" t="inlineStr">
        <is>
          <t>+ </t>
        </is>
      </c>
      <c r="H3654" s="2">
        <v>3022</v>
      </c>
      <c r="I3654" s="2" t="inlineStr">
        <is>
          <t>$</t>
        </is>
      </c>
      <c r="J3654" s="2">
        <f>HYPERLINK("https://app.astro.lead-studio.pro/product/80decd34-b77e-4e6f-8cd6-9669138ceb0e")</f>
      </c>
    </row>
    <row r="3655" spans="1:10" customHeight="0">
      <c r="A3655" s="2" t="inlineStr">
        <is>
          <t>Ноутбуки</t>
        </is>
      </c>
      <c r="B3655" s="2" t="inlineStr">
        <is>
          <t>APPLE</t>
        </is>
      </c>
      <c r="C3655" s="2" t="inlineStr">
        <is>
          <t>Z1FE00113</t>
        </is>
      </c>
      <c r="D3655" s="2" t="inlineStr">
        <is>
          <t>Ноутбук Apple MacBook Pro A3401 M4 Pro 12 core 48Gb SSD512Gb/16 core GPU 14.2" Liquid Retina XDR (3024x1964) Mac OS black WiFi BT Cam (Z1FE00113)</t>
        </is>
      </c>
      <c r="E3655" s="2" t="inlineStr">
        <is>
          <t>+++ </t>
        </is>
      </c>
      <c r="F3655" s="2" t="inlineStr">
        <is>
          <t>+++ </t>
        </is>
      </c>
      <c r="H3655" s="2">
        <v>3622</v>
      </c>
      <c r="I3655" s="2" t="inlineStr">
        <is>
          <t>$</t>
        </is>
      </c>
      <c r="J3655" s="2">
        <f>HYPERLINK("https://app.astro.lead-studio.pro/product/4a11c718-81b4-41d3-951b-cc7c065ccded")</f>
      </c>
    </row>
    <row r="3656" spans="1:10" customHeight="0">
      <c r="A3656" s="2" t="inlineStr">
        <is>
          <t>Ноутбуки</t>
        </is>
      </c>
      <c r="B3656" s="2" t="inlineStr">
        <is>
          <t>APPLE</t>
        </is>
      </c>
      <c r="C3656" s="2" t="inlineStr">
        <is>
          <t>MX2X3HN/A</t>
        </is>
      </c>
      <c r="D3656" s="2" t="inlineStr">
        <is>
          <t>Ноутбук Apple MacBook Pro A3403 M4 Pro 14 core 24Gb SSD512Gb/20 core GPU 16.2" Liquid Retina XDR (3456x2234) Mac OS black WiFi BT Cam (MX2X3HN/A)</t>
        </is>
      </c>
      <c r="E3656" s="2" t="inlineStr">
        <is>
          <t>+ </t>
        </is>
      </c>
      <c r="F3656" s="2" t="inlineStr">
        <is>
          <t>+ </t>
        </is>
      </c>
      <c r="H3656" s="2">
        <v>3578</v>
      </c>
      <c r="I3656" s="2" t="inlineStr">
        <is>
          <t>$</t>
        </is>
      </c>
      <c r="J3656" s="2">
        <f>HYPERLINK("https://app.astro.lead-studio.pro/product/d8ba432c-f322-44c8-b0e6-558b33fa17fe")</f>
      </c>
    </row>
    <row r="3657" spans="1:10" customHeight="0">
      <c r="A3657" s="2" t="inlineStr">
        <is>
          <t>Ноутбуки</t>
        </is>
      </c>
      <c r="B3657" s="2" t="inlineStr">
        <is>
          <t>APPLE</t>
        </is>
      </c>
      <c r="C3657" s="2" t="inlineStr">
        <is>
          <t>MX2T3HN/A</t>
        </is>
      </c>
      <c r="D3657" s="2" t="inlineStr">
        <is>
          <t>Ноутбук Apple MacBook Pro A3403 M4 Pro 14 core 24Gb SSD512Gb/20 core GPU 16.2" Liquid Retina XDR (3456x2234) Mac OS silver WiFi BT Cam (MX2T3HN/A)</t>
        </is>
      </c>
      <c r="E3657" s="2" t="inlineStr">
        <is>
          <t>+++ </t>
        </is>
      </c>
      <c r="F3657" s="2" t="inlineStr">
        <is>
          <t>+++ </t>
        </is>
      </c>
      <c r="H3657" s="2">
        <v>3575</v>
      </c>
      <c r="I3657" s="2" t="inlineStr">
        <is>
          <t>$</t>
        </is>
      </c>
      <c r="J3657" s="2">
        <f>HYPERLINK("https://app.astro.lead-studio.pro/product/f70333c1-88cd-4e59-ace7-0e9d99c23649")</f>
      </c>
    </row>
    <row r="3658" spans="1:10" customHeight="0">
      <c r="A3658" s="2" t="inlineStr">
        <is>
          <t>Ноутбуки</t>
        </is>
      </c>
      <c r="B3658" s="2" t="inlineStr">
        <is>
          <t>AQUARIUS</t>
        </is>
      </c>
      <c r="D3658" s="2" t="inlineStr">
        <is>
          <t>Ноутбук Aquarius CMP NS483 Исполнение 2 Core i5 1155G7 16Gb SSD512Gb Intel UHD Graphics 620 14" IPS Touch FHD (1920x1080) без ОС Cam</t>
        </is>
      </c>
      <c r="E3658" s="2" t="inlineStr">
        <is>
          <t>+ </t>
        </is>
      </c>
      <c r="F3658" s="2" t="inlineStr">
        <is>
          <t>+ </t>
        </is>
      </c>
      <c r="H3658" s="2">
        <v>1313</v>
      </c>
      <c r="I3658" s="2" t="inlineStr">
        <is>
          <t>$</t>
        </is>
      </c>
    </row>
    <row r="3659" spans="1:10" customHeight="0">
      <c r="A3659" s="2" t="inlineStr">
        <is>
          <t>Ноутбуки</t>
        </is>
      </c>
      <c r="B3659" s="2" t="inlineStr">
        <is>
          <t>AQUARIUS</t>
        </is>
      </c>
      <c r="C3659" s="2" t="inlineStr">
        <is>
          <t>NS6161525116S151SCN2TNNNN2</t>
        </is>
      </c>
      <c r="D3659" s="2" t="inlineStr">
        <is>
          <t>Ноутбук Aquarius CMP NS616 Core i5 1155G7 16Gb SSD512Gb 16" IPS FHD noOS WiFi BT Cam (NS6161525116S151SCN2TNNNN2)</t>
        </is>
      </c>
      <c r="E3659" s="2" t="inlineStr">
        <is>
          <t>+ </t>
        </is>
      </c>
      <c r="F3659" s="2" t="inlineStr">
        <is>
          <t>+ </t>
        </is>
      </c>
      <c r="H3659" s="2">
        <v>1064</v>
      </c>
      <c r="I3659" s="2" t="inlineStr">
        <is>
          <t>$</t>
        </is>
      </c>
      <c r="J3659" s="2">
        <f>HYPERLINK("https://app.astro.lead-studio.pro/product/028160c3-9567-4a0c-bf6b-cd0679067edb")</f>
      </c>
    </row>
    <row r="3660" spans="1:10" customHeight="0">
      <c r="A3660" s="2" t="inlineStr">
        <is>
          <t>Ноутбуки</t>
        </is>
      </c>
      <c r="B3660" s="2" t="inlineStr">
        <is>
          <t>ASUS</t>
        </is>
      </c>
      <c r="C3660" s="2" t="inlineStr">
        <is>
          <t>90NX06W1-M01NW0</t>
        </is>
      </c>
      <c r="D3660" s="2" t="inlineStr">
        <is>
          <t>Ноутбук Asus ExpertBook B1 B1402CVA-EB1342X Core i7 1355U 16Gb SSD1Tb Intel Iris Xe graphics 14" IPS FHD (1920x1080) Windows 11 Professional black WiFi BT Cam (90NX06W1-M01NW0)</t>
        </is>
      </c>
      <c r="E3660" s="2" t="inlineStr">
        <is>
          <t>+ </t>
        </is>
      </c>
      <c r="F3660" s="2" t="inlineStr">
        <is>
          <t>+ </t>
        </is>
      </c>
      <c r="H3660" s="2">
        <v>1132</v>
      </c>
      <c r="I3660" s="2" t="inlineStr">
        <is>
          <t>$</t>
        </is>
      </c>
      <c r="J3660" s="2">
        <f>HYPERLINK("https://app.astro.lead-studio.pro/product/d42a944e-2dc1-4362-8c7d-423703f51950")</f>
      </c>
    </row>
    <row r="3661" spans="1:10" customHeight="0">
      <c r="A3661" s="2" t="inlineStr">
        <is>
          <t>Ноутбуки</t>
        </is>
      </c>
      <c r="B3661" s="2" t="inlineStr">
        <is>
          <t>ASUS</t>
        </is>
      </c>
      <c r="C3661" s="2" t="inlineStr">
        <is>
          <t>90NX0621-M00E40</t>
        </is>
      </c>
      <c r="D3661" s="2" t="inlineStr">
        <is>
          <t>Ноутбук Asus ExpertBook B1 B1502CGA-BQ0386X Core i3 N305 8Gb SSD256Gb Intel UHD Graphics 15.6" IPS FHD (1920x1080) Windows 11 Pro black WiFi BT Cam (90NX0621-M00E40)</t>
        </is>
      </c>
      <c r="E3661" s="2" t="inlineStr">
        <is>
          <t>+++ </t>
        </is>
      </c>
      <c r="F3661" s="2" t="inlineStr">
        <is>
          <t>+++ </t>
        </is>
      </c>
      <c r="H3661" s="2">
        <v>714</v>
      </c>
      <c r="I3661" s="2" t="inlineStr">
        <is>
          <t>$</t>
        </is>
      </c>
      <c r="J3661" s="2">
        <f>HYPERLINK("https://app.astro.lead-studio.pro/product/cf8da332-8751-4146-9834-ba91f8e4f149")</f>
      </c>
    </row>
    <row r="3662" spans="1:10" customHeight="0">
      <c r="A3662" s="2" t="inlineStr">
        <is>
          <t>Ноутбуки</t>
        </is>
      </c>
      <c r="B3662" s="2" t="inlineStr">
        <is>
          <t>ASUS</t>
        </is>
      </c>
      <c r="C3662" s="2" t="inlineStr">
        <is>
          <t>90NX0621-M00PH0</t>
        </is>
      </c>
      <c r="D3662" s="2" t="inlineStr">
        <is>
          <t>Ноутбук Asus ExpertBook B1 B1502CGA-BQ0612 Core i3 N305 8Gb SSD512Gb Intel UHD Graphics 15.6" IPS FHD (1920x1080) без ОС black WiFi BT Cam (90NX0621-M00PH0)</t>
        </is>
      </c>
      <c r="E3662" s="2" t="inlineStr">
        <is>
          <t>+++ </t>
        </is>
      </c>
      <c r="F3662" s="2" t="inlineStr">
        <is>
          <t>+++ </t>
        </is>
      </c>
      <c r="H3662" s="2">
        <v>531</v>
      </c>
      <c r="I3662" s="2" t="inlineStr">
        <is>
          <t>$</t>
        </is>
      </c>
      <c r="J3662" s="2">
        <f>HYPERLINK("https://app.astro.lead-studio.pro/product/fb6c7aa1-083b-4b52-a28a-ce189a969616")</f>
      </c>
    </row>
    <row r="3663" spans="1:10" customHeight="0">
      <c r="A3663" s="2" t="inlineStr">
        <is>
          <t>Ноутбуки</t>
        </is>
      </c>
      <c r="B3663" s="2" t="inlineStr">
        <is>
          <t>ASUS</t>
        </is>
      </c>
      <c r="C3663" s="2" t="inlineStr">
        <is>
          <t>90NX0711-M00H10</t>
        </is>
      </c>
      <c r="D3663" s="2" t="inlineStr">
        <is>
          <t>Ноутбук Asus Expertbook B3 B3404CMA-Q50430 Core Ultra 5 125U 16Gb SSD512Gb Intel Graphics 14" IPS WUXGA (1920x1200) без ОС black WiFi BT Cam (90NX0711-M00H10)</t>
        </is>
      </c>
      <c r="E3663" s="2" t="inlineStr">
        <is>
          <t>+ </t>
        </is>
      </c>
      <c r="F3663" s="2" t="inlineStr">
        <is>
          <t>+ </t>
        </is>
      </c>
      <c r="H3663" s="2">
        <v>966</v>
      </c>
      <c r="I3663" s="2" t="inlineStr">
        <is>
          <t>$</t>
        </is>
      </c>
      <c r="J3663" s="2">
        <f>HYPERLINK("https://app.astro.lead-studio.pro/product/a0c5c795-bb14-4abe-8b91-b2215e03de62")</f>
      </c>
    </row>
    <row r="3664" spans="1:10" customHeight="0">
      <c r="A3664" s="2" t="inlineStr">
        <is>
          <t>Ноутбуки</t>
        </is>
      </c>
      <c r="B3664" s="2" t="inlineStr">
        <is>
          <t>ASUS</t>
        </is>
      </c>
      <c r="C3664" s="2" t="inlineStr">
        <is>
          <t>90NX0711-M00H40</t>
        </is>
      </c>
      <c r="D3664" s="2" t="inlineStr">
        <is>
          <t>Ноутбук Asus Expertbook B3 B3404CMA-Q50433 Core Ultra 7 155U 16Gb SSD1Tb Intel Graphics 14" IPS WUXGA (1920x1200) без ОС black WiFi BT Cam (90NX0711-M00H40)</t>
        </is>
      </c>
      <c r="E3664" s="2" t="inlineStr">
        <is>
          <t>+ </t>
        </is>
      </c>
      <c r="F3664" s="2" t="inlineStr">
        <is>
          <t>+ </t>
        </is>
      </c>
      <c r="H3664" s="2">
        <v>1177</v>
      </c>
      <c r="I3664" s="2" t="inlineStr">
        <is>
          <t>$</t>
        </is>
      </c>
      <c r="J3664" s="2">
        <f>HYPERLINK("https://app.astro.lead-studio.pro/product/86b0a903-0563-4231-aff3-c5dd16b69dd7")</f>
      </c>
    </row>
    <row r="3665" spans="1:10" customHeight="0">
      <c r="A3665" s="2" t="inlineStr">
        <is>
          <t>Ноутбуки</t>
        </is>
      </c>
      <c r="B3665" s="2" t="inlineStr">
        <is>
          <t>ASUS</t>
        </is>
      </c>
      <c r="C3665" s="2" t="inlineStr">
        <is>
          <t>90NX0731-M00CH0</t>
        </is>
      </c>
      <c r="D3665" s="2" t="inlineStr">
        <is>
          <t>Ноутбук Asus Expertbook B3 B3604CMA-Q90352 Core Ultra 5 125U 16Gb SSD512Gb Intel Graphics 16" IPS WUXGA (1920x1200) без ОС black WiFi BT Cam (90NX0731-M00CH0)</t>
        </is>
      </c>
      <c r="E3665" s="2" t="inlineStr">
        <is>
          <t>+ </t>
        </is>
      </c>
      <c r="F3665" s="2" t="inlineStr">
        <is>
          <t>+ </t>
        </is>
      </c>
      <c r="H3665" s="2">
        <v>1003</v>
      </c>
      <c r="I3665" s="2" t="inlineStr">
        <is>
          <t>$</t>
        </is>
      </c>
      <c r="J3665" s="2">
        <f>HYPERLINK("https://app.astro.lead-studio.pro/product/2dda5a42-f40f-4d95-85e1-4585f9ededdf")</f>
      </c>
    </row>
    <row r="3666" spans="1:10" customHeight="0">
      <c r="A3666" s="2" t="inlineStr">
        <is>
          <t>Ноутбуки</t>
        </is>
      </c>
      <c r="B3666" s="2" t="inlineStr">
        <is>
          <t>ASUS</t>
        </is>
      </c>
      <c r="C3666" s="2" t="inlineStr">
        <is>
          <t>90NX06R1-M00EB0</t>
        </is>
      </c>
      <c r="D3666" s="2" t="inlineStr">
        <is>
          <t>Ноутбук Asus ExpertBook B5 B5404CMA-QN0401X Core Ultra 7 155U 16Gb SSD1Tb Intel Graphics 14" IPS WQXGA (2560x1600) Windows 11 Pro black WiFi BT Cam (90NX06R1-M00EB0)</t>
        </is>
      </c>
      <c r="E3666" s="2" t="inlineStr">
        <is>
          <t>+ </t>
        </is>
      </c>
      <c r="F3666" s="2" t="inlineStr">
        <is>
          <t>+ </t>
        </is>
      </c>
      <c r="H3666" s="2">
        <v>1725</v>
      </c>
      <c r="I3666" s="2" t="inlineStr">
        <is>
          <t>$</t>
        </is>
      </c>
      <c r="J3666" s="2">
        <f>HYPERLINK("https://app.astro.lead-studio.pro/product/e09defe1-43cf-4699-b46f-6f12e8356594")</f>
      </c>
    </row>
    <row r="3667" spans="1:10" customHeight="0">
      <c r="A3667" s="2" t="inlineStr">
        <is>
          <t>Ноутбуки</t>
        </is>
      </c>
      <c r="B3667" s="2" t="inlineStr">
        <is>
          <t>ASUS</t>
        </is>
      </c>
      <c r="C3667" s="2" t="inlineStr">
        <is>
          <t>90NX0751-M00950</t>
        </is>
      </c>
      <c r="D3667" s="2" t="inlineStr">
        <is>
          <t>Ноутбук Asus ExpertBook B5 B5604CMA-QY0243X Core Ultra 7 155U 16Gb SSD1Tb Intel Graphics 16" IPS WQXGA (2560x1600) Windows 11 Pro black WiFi BT Cam (90NX0751-M00950)</t>
        </is>
      </c>
      <c r="E3667" s="2" t="inlineStr">
        <is>
          <t>+ </t>
        </is>
      </c>
      <c r="F3667" s="2" t="inlineStr">
        <is>
          <t>+ </t>
        </is>
      </c>
      <c r="H3667" s="2">
        <v>1796</v>
      </c>
      <c r="I3667" s="2" t="inlineStr">
        <is>
          <t>$</t>
        </is>
      </c>
      <c r="J3667" s="2">
        <f>HYPERLINK("https://app.astro.lead-studio.pro/product/a0f78647-96e4-4754-af96-1a5cd3fb420b")</f>
      </c>
    </row>
    <row r="3668" spans="1:10" customHeight="0">
      <c r="A3668" s="2" t="inlineStr">
        <is>
          <t>Ноутбуки</t>
        </is>
      </c>
      <c r="B3668" s="2" t="inlineStr">
        <is>
          <t>ASUS</t>
        </is>
      </c>
      <c r="C3668" s="2" t="inlineStr">
        <is>
          <t>90NX0881-M00CE0</t>
        </is>
      </c>
      <c r="D3668" s="2" t="inlineStr">
        <is>
          <t>Ноутбук Asus ExpertBook P1 P1503CVA-S70346 Core i3 1315U 8Gb SSD256Gb Intel UHD Graphics 15.6" IPS FHD (1920x1080) noOS grey WiFi BT Cam (90NX0881-M00CE0)</t>
        </is>
      </c>
      <c r="E3668" s="2" t="inlineStr">
        <is>
          <t>++ </t>
        </is>
      </c>
      <c r="F3668" s="2" t="inlineStr">
        <is>
          <t>++ </t>
        </is>
      </c>
      <c r="H3668" s="2">
        <v>670</v>
      </c>
      <c r="I3668" s="2" t="inlineStr">
        <is>
          <t>$</t>
        </is>
      </c>
      <c r="J3668" s="2">
        <f>HYPERLINK("https://app.astro.lead-studio.pro/product/1970dad2-fdaa-43fb-ac6e-599c42f84634")</f>
      </c>
    </row>
    <row r="3669" spans="1:10" customHeight="0">
      <c r="A3669" s="2" t="inlineStr">
        <is>
          <t>Ноутбуки</t>
        </is>
      </c>
      <c r="B3669" s="2" t="inlineStr">
        <is>
          <t>ASUS</t>
        </is>
      </c>
      <c r="C3669" s="2" t="inlineStr">
        <is>
          <t>90NX0881-M00CF0</t>
        </is>
      </c>
      <c r="D3669" s="2" t="inlineStr">
        <is>
          <t>Ноутбук Asus ExpertBook P1 P1503CVA-S70347W Core i3 1315U 8Gb SSD256Gb Intel UHD Graphics 15.6" IPS FHD (1920x1080) Windows 11 Home grey WiFi BT Cam (90NX0881-M00CF0)</t>
        </is>
      </c>
      <c r="E3669" s="2" t="inlineStr">
        <is>
          <t>+ </t>
        </is>
      </c>
      <c r="F3669" s="2" t="inlineStr">
        <is>
          <t>+ </t>
        </is>
      </c>
      <c r="H3669" s="2">
        <v>688</v>
      </c>
      <c r="I3669" s="2" t="inlineStr">
        <is>
          <t>$</t>
        </is>
      </c>
      <c r="J3669" s="2">
        <f>HYPERLINK("https://app.astro.lead-studio.pro/product/bd933927-fc65-48b5-b40a-233cbdc47508")</f>
      </c>
    </row>
    <row r="3670" spans="1:10" customHeight="0">
      <c r="A3670" s="2" t="inlineStr">
        <is>
          <t>Ноутбуки</t>
        </is>
      </c>
      <c r="B3670" s="2" t="inlineStr">
        <is>
          <t>ASUS</t>
        </is>
      </c>
      <c r="C3670" s="2" t="inlineStr">
        <is>
          <t>90NX0881-M00CJ0</t>
        </is>
      </c>
      <c r="D3670" s="2" t="inlineStr">
        <is>
          <t>Ноутбук Asus ExpertBook P1 P1503CVA-S70349 Core i3 1315U 8Gb SSD512Gb Intel UHD Graphics 15.6" IPS FHD (1920x1080) noOS grey WiFi BT Cam (90NX0881-M00CJ0)</t>
        </is>
      </c>
      <c r="E3670" s="2" t="inlineStr">
        <is>
          <t>++ </t>
        </is>
      </c>
      <c r="F3670" s="2" t="inlineStr">
        <is>
          <t>++ </t>
        </is>
      </c>
      <c r="H3670" s="2">
        <v>616</v>
      </c>
      <c r="I3670" s="2" t="inlineStr">
        <is>
          <t>$</t>
        </is>
      </c>
      <c r="J3670" s="2">
        <f>HYPERLINK("https://app.astro.lead-studio.pro/product/99647e4b-3f55-46c1-ba8c-f361e877ca6b")</f>
      </c>
    </row>
    <row r="3671" spans="1:10" customHeight="0">
      <c r="A3671" s="2" t="inlineStr">
        <is>
          <t>Ноутбуки</t>
        </is>
      </c>
      <c r="B3671" s="2" t="inlineStr">
        <is>
          <t>ASUS</t>
        </is>
      </c>
      <c r="C3671" s="2" t="inlineStr">
        <is>
          <t>90NX0881-M00CR0</t>
        </is>
      </c>
      <c r="D3671" s="2" t="inlineStr">
        <is>
          <t>Ноутбук Asus ExpertBook P1 P1503CVA-S70355 Core i5 13500H 16Gb SSD512Gb Intel UHD Graphics 15.6" IPS FHD (1920x1080) noOS grey WiFi BT Cam (90NX0881-M00CR0)</t>
        </is>
      </c>
      <c r="E3671" s="2" t="inlineStr">
        <is>
          <t>+++ </t>
        </is>
      </c>
      <c r="F3671" s="2" t="inlineStr">
        <is>
          <t>+++ </t>
        </is>
      </c>
      <c r="H3671" s="2">
        <v>731</v>
      </c>
      <c r="I3671" s="2" t="inlineStr">
        <is>
          <t>$</t>
        </is>
      </c>
      <c r="J3671" s="2">
        <f>HYPERLINK("https://app.astro.lead-studio.pro/product/7b1d37d3-0054-4c69-9e05-fe8b20b913b4")</f>
      </c>
    </row>
    <row r="3672" spans="1:10" customHeight="0">
      <c r="A3672" s="2" t="inlineStr">
        <is>
          <t>Ноутбуки</t>
        </is>
      </c>
      <c r="B3672" s="2" t="inlineStr">
        <is>
          <t>ASUS</t>
        </is>
      </c>
      <c r="C3672" s="2" t="inlineStr">
        <is>
          <t>90NB1421-M00AM0</t>
        </is>
      </c>
      <c r="D3672" s="2" t="inlineStr">
        <is>
          <t>Ноутбук Asus ProArt P16 H7606WI-ME146X Ryzen AI 9 HX 370 64Gb SSD2Tb NVIDIA GeForce RTX4070 8Gb 16" OLED Touch 4K (3840x2400) Windows 11 Pro black WiFi BT Cam (90NB1421-M00AM0)</t>
        </is>
      </c>
      <c r="E3672" s="2" t="inlineStr">
        <is>
          <t>+ </t>
        </is>
      </c>
      <c r="F3672" s="2" t="inlineStr">
        <is>
          <t>+ </t>
        </is>
      </c>
      <c r="H3672" s="2">
        <v>3705</v>
      </c>
      <c r="I3672" s="2" t="inlineStr">
        <is>
          <t>$</t>
        </is>
      </c>
      <c r="J3672" s="2">
        <f>HYPERLINK("https://app.astro.lead-studio.pro/product/1beffb93-602e-4c5a-9302-65331287d415")</f>
      </c>
    </row>
    <row r="3673" spans="1:10" customHeight="0">
      <c r="A3673" s="2" t="inlineStr">
        <is>
          <t>Ноутбуки</t>
        </is>
      </c>
      <c r="B3673" s="2" t="inlineStr">
        <is>
          <t>ASUS</t>
        </is>
      </c>
      <c r="C3673" s="2" t="inlineStr">
        <is>
          <t>90NB1411-M004Z0</t>
        </is>
      </c>
      <c r="D3673" s="2" t="inlineStr">
        <is>
          <t>Ноутбук Asus ProArt P16 H7606WV-ME098X Ryzen AI 9 HX 370 32Gb SSD2Tb NVIDIA GeForce RTX4060 8Gb 16" OLED Touch 4K (3840x2400) Windows 11 Pro black WiFi BT Cam (90NB1411-M004Z0)</t>
        </is>
      </c>
      <c r="E3673" s="2" t="inlineStr">
        <is>
          <t>++ </t>
        </is>
      </c>
      <c r="F3673" s="2" t="inlineStr">
        <is>
          <t>++ </t>
        </is>
      </c>
      <c r="H3673" s="2">
        <v>3271</v>
      </c>
      <c r="I3673" s="2" t="inlineStr">
        <is>
          <t>$</t>
        </is>
      </c>
      <c r="J3673" s="2">
        <f>HYPERLINK("https://app.astro.lead-studio.pro/product/4d0cf211-301e-4487-893f-b7ca41e22ce3")</f>
      </c>
    </row>
    <row r="3674" spans="1:10" customHeight="0">
      <c r="A3674" s="2" t="inlineStr">
        <is>
          <t>Ноутбуки</t>
        </is>
      </c>
      <c r="B3674" s="2" t="inlineStr">
        <is>
          <t>ASUS</t>
        </is>
      </c>
      <c r="C3674" s="2" t="inlineStr">
        <is>
          <t>90NB14L1-M00180</t>
        </is>
      </c>
      <c r="D3674" s="2" t="inlineStr">
        <is>
          <t>Ноутбук Asus ProArt PX13 HN7306WV-LX014X Ryzen AI 9 HX 370 32Gb SSD1Tb NVIDIA GeForce RTX4060 8Gb 13.3" OLED Touch 3K (2880x1800) Windows 11 Pro black WiFi BT Cam (90NB14L1-M00180)</t>
        </is>
      </c>
      <c r="E3674" s="2" t="inlineStr">
        <is>
          <t>+ </t>
        </is>
      </c>
      <c r="F3674" s="2" t="inlineStr">
        <is>
          <t>+ </t>
        </is>
      </c>
      <c r="H3674" s="2">
        <v>2865</v>
      </c>
      <c r="I3674" s="2" t="inlineStr">
        <is>
          <t>$</t>
        </is>
      </c>
      <c r="J3674" s="2">
        <f>HYPERLINK("https://app.astro.lead-studio.pro/product/57dcde19-d482-4ef8-8ad4-d71ac237c252")</f>
      </c>
    </row>
    <row r="3675" spans="1:10" customHeight="0">
      <c r="A3675" s="2" t="inlineStr">
        <is>
          <t>Ноутбуки</t>
        </is>
      </c>
      <c r="B3675" s="2" t="inlineStr">
        <is>
          <t>ASUS</t>
        </is>
      </c>
      <c r="C3675" s="2" t="inlineStr">
        <is>
          <t>90NB1441-M001N0</t>
        </is>
      </c>
      <c r="D3675" s="2" t="inlineStr">
        <is>
          <t>Ноутбук Asus ProArt PZ13 HT5306QA-LX008W Snapdragon X Plus X1P-42-100 16Gb SSD1Tb Qualcomm Adreno 13.3" OLED Touch 3K (2880x1800) Windows 11 Home black WiFi BT Cam (90NB1441-M001N0)</t>
        </is>
      </c>
      <c r="E3675" s="2" t="inlineStr">
        <is>
          <t>+ </t>
        </is>
      </c>
      <c r="F3675" s="2" t="inlineStr">
        <is>
          <t>+ </t>
        </is>
      </c>
      <c r="H3675" s="2">
        <v>1822</v>
      </c>
      <c r="I3675" s="2" t="inlineStr">
        <is>
          <t>$</t>
        </is>
      </c>
      <c r="J3675" s="2">
        <f>HYPERLINK("https://app.astro.lead-studio.pro/product/65f4f9d0-b2cd-4942-9d92-167d06b9534c")</f>
      </c>
    </row>
    <row r="3676" spans="1:10" customHeight="0">
      <c r="A3676" s="2" t="inlineStr">
        <is>
          <t>Ноутбуки</t>
        </is>
      </c>
      <c r="B3676" s="2" t="inlineStr">
        <is>
          <t>ASUS</t>
        </is>
      </c>
      <c r="C3676" s="2" t="inlineStr">
        <is>
          <t>90NR0D41-M00VN0</t>
        </is>
      </c>
      <c r="D3676" s="2" t="inlineStr">
        <is>
          <t>Ноутбук Asus ROG Strix G16 G614JI-N4413 Core i7 13650HX 32Gb SSD1Tb NVIDIA GeForce RTX4070 8Gb 16" IPS WQXGA (2560x1600) без ОС grey WiFi BT Cam (90NR0D41-M00VN0)</t>
        </is>
      </c>
      <c r="E3676" s="2" t="inlineStr">
        <is>
          <t>+ </t>
        </is>
      </c>
      <c r="F3676" s="2" t="inlineStr">
        <is>
          <t>+ </t>
        </is>
      </c>
      <c r="H3676" s="2">
        <v>2351</v>
      </c>
      <c r="I3676" s="2" t="inlineStr">
        <is>
          <t>$</t>
        </is>
      </c>
      <c r="J3676" s="2">
        <f>HYPERLINK("https://app.astro.lead-studio.pro/product/559a4b93-4fdb-44d4-b17c-5635154c4d05")</f>
      </c>
    </row>
    <row r="3677" spans="1:10" customHeight="0">
      <c r="A3677" s="2" t="inlineStr">
        <is>
          <t>Ноутбуки</t>
        </is>
      </c>
      <c r="B3677" s="2" t="inlineStr">
        <is>
          <t>ASUS</t>
        </is>
      </c>
      <c r="C3677" s="2" t="inlineStr">
        <is>
          <t>90NR0ID6-M002E0</t>
        </is>
      </c>
      <c r="D3677" s="2" t="inlineStr">
        <is>
          <t>Ноутбук Asus ROG Strix G18 G814JIR-N6048 Core i9 14900HX 16Gb SSD1Tb NVIDIA GeForce RTX4070 8Gb 18" IPS WQXGA (2560x1600) без ОС grey WiFi BT Cam (90NR0ID6-M002E0)</t>
        </is>
      </c>
      <c r="E3677" s="2" t="inlineStr">
        <is>
          <t>+ </t>
        </is>
      </c>
      <c r="F3677" s="2" t="inlineStr">
        <is>
          <t>+ </t>
        </is>
      </c>
      <c r="H3677" s="2">
        <v>2562</v>
      </c>
      <c r="I3677" s="2" t="inlineStr">
        <is>
          <t>$</t>
        </is>
      </c>
      <c r="J3677" s="2">
        <f>HYPERLINK("https://app.astro.lead-studio.pro/product/2e6961de-cb9c-44b3-99de-9a7f0c5ca6b1")</f>
      </c>
    </row>
    <row r="3678" spans="1:10" customHeight="0">
      <c r="A3678" s="2" t="inlineStr">
        <is>
          <t>Ноутбуки</t>
        </is>
      </c>
      <c r="B3678" s="2" t="inlineStr">
        <is>
          <t>ASUS</t>
        </is>
      </c>
      <c r="C3678" s="2" t="inlineStr">
        <is>
          <t>90NR0BI1-M004V0</t>
        </is>
      </c>
      <c r="D3678" s="2" t="inlineStr">
        <is>
          <t>Ноутбук Asus ROG Zephyrus Duo 16 GX650PY-NM083W Ryzen 9 7945HX 32Gb SSD2Tb NVIDIA GeForce RTX4090 16Gb 16" IPS WQXGA (2560x1600) Windows 11 Home black WiFi BT Cam (90NR0BI1-M004V0)</t>
        </is>
      </c>
      <c r="E3678" s="2" t="inlineStr">
        <is>
          <t>+ </t>
        </is>
      </c>
      <c r="F3678" s="2" t="inlineStr">
        <is>
          <t>+ </t>
        </is>
      </c>
      <c r="H3678" s="2">
        <v>4752</v>
      </c>
      <c r="I3678" s="2" t="inlineStr">
        <is>
          <t>$</t>
        </is>
      </c>
      <c r="J3678" s="2">
        <f>HYPERLINK("https://app.astro.lead-studio.pro/product/abaad3e0-70bb-4610-8340-b0755647622f")</f>
      </c>
    </row>
    <row r="3679" spans="1:10" customHeight="0">
      <c r="A3679" s="2" t="inlineStr">
        <is>
          <t>Ноутбуки</t>
        </is>
      </c>
      <c r="B3679" s="2" t="inlineStr">
        <is>
          <t>ASUS</t>
        </is>
      </c>
      <c r="C3679" s="2" t="inlineStr">
        <is>
          <t>90NR0JP5-M002D0</t>
        </is>
      </c>
      <c r="D3679" s="2" t="inlineStr">
        <is>
          <t>Ноутбук Asus TUF Gaming A15 FA507NUR-LP044 Ryzen 7 7435HS 16Gb SSD512Gb NVIDIA GeForce RTX4050 6Gb 15.6" IPS FHD (1920x1080) без ОС grey WiFi BT Cam (90NR0JP5-M002D0)</t>
        </is>
      </c>
      <c r="E3679" s="2" t="inlineStr">
        <is>
          <t>+++ </t>
        </is>
      </c>
      <c r="F3679" s="2" t="inlineStr">
        <is>
          <t>+++ </t>
        </is>
      </c>
      <c r="H3679" s="2">
        <v>1154</v>
      </c>
      <c r="I3679" s="2" t="inlineStr">
        <is>
          <t>$</t>
        </is>
      </c>
      <c r="J3679" s="2">
        <f>HYPERLINK("https://app.astro.lead-studio.pro/product/53743b3c-4386-42bd-adea-9013a1e18f40")</f>
      </c>
    </row>
    <row r="3680" spans="1:10" customHeight="0">
      <c r="A3680" s="2" t="inlineStr">
        <is>
          <t>Ноутбуки</t>
        </is>
      </c>
      <c r="B3680" s="2" t="inlineStr">
        <is>
          <t>ASUS</t>
        </is>
      </c>
      <c r="C3680" s="2" t="inlineStr">
        <is>
          <t>90NR0JK5-M006X0</t>
        </is>
      </c>
      <c r="D3680" s="2" t="inlineStr">
        <is>
          <t>Ноутбук Asus TUF Gaming A15 FA507NVR-LP118 Ryzen 7 7435HS 32Gb SSD512Gb NVIDIA GeForce RTX4060 8Gb 15.6" IPS FHD (1920x1080) noOS grey WiFi BT Cam (90NR0JK5-M006X0)</t>
        </is>
      </c>
      <c r="E3680" s="2" t="inlineStr">
        <is>
          <t>+++ </t>
        </is>
      </c>
      <c r="F3680" s="2" t="inlineStr">
        <is>
          <t>+++ </t>
        </is>
      </c>
      <c r="H3680" s="2">
        <v>1382</v>
      </c>
      <c r="I3680" s="2" t="inlineStr">
        <is>
          <t>$</t>
        </is>
      </c>
      <c r="J3680" s="2">
        <f>HYPERLINK("https://app.astro.lead-studio.pro/product/19ace71d-992b-4bf8-ad73-d02a6c6aceac")</f>
      </c>
    </row>
    <row r="3681" spans="1:10" customHeight="0">
      <c r="A3681" s="2" t="inlineStr">
        <is>
          <t>Ноутбуки</t>
        </is>
      </c>
      <c r="B3681" s="2" t="inlineStr">
        <is>
          <t>ASUS</t>
        </is>
      </c>
      <c r="C3681" s="2" t="inlineStr">
        <is>
          <t>90NR0JW5-M00080</t>
        </is>
      </c>
      <c r="D3681" s="2" t="inlineStr">
        <is>
          <t>Ноутбук Asus TUF Gaming A17 FA706NFR-HX007 Ryzen 7 7435HS 16Gb SSD512Gb NVIDIA GeForce RTX 2050 4Gb 17.3" IPS FHD (1920x1080) без ОС black WiFi BT Cam (90NR0JW5-M00080)</t>
        </is>
      </c>
      <c r="E3681" s="2" t="inlineStr">
        <is>
          <t>+++ </t>
        </is>
      </c>
      <c r="F3681" s="2" t="inlineStr">
        <is>
          <t>+++ </t>
        </is>
      </c>
      <c r="H3681" s="2">
        <v>947</v>
      </c>
      <c r="I3681" s="2" t="inlineStr">
        <is>
          <t>$</t>
        </is>
      </c>
      <c r="J3681" s="2">
        <f>HYPERLINK("https://app.astro.lead-studio.pro/product/7b1cc591-3b41-4bc3-9a89-b941dbf03487")</f>
      </c>
    </row>
    <row r="3682" spans="1:10" customHeight="0">
      <c r="A3682" s="2" t="inlineStr">
        <is>
          <t>Ноутбуки</t>
        </is>
      </c>
      <c r="B3682" s="2" t="inlineStr">
        <is>
          <t>ASUS</t>
        </is>
      </c>
      <c r="C3682" s="2" t="inlineStr">
        <is>
          <t>90NR0BV7-M00PA0</t>
        </is>
      </c>
      <c r="D3682" s="2" t="inlineStr">
        <is>
          <t>Ноутбук Asus TUF Gaming F15 FX507VV-LP186 Core i7 13620H 16Gb SSD512Gb NVIDIA GeForce RTX4060 8Gb 15.6" IPS FHD (1920x1080) без ОС grey WiFi BT Cam (90NR0BV7-M00PA0)</t>
        </is>
      </c>
      <c r="E3682" s="2" t="inlineStr">
        <is>
          <t>+++ </t>
        </is>
      </c>
      <c r="F3682" s="2" t="inlineStr">
        <is>
          <t>+++ </t>
        </is>
      </c>
      <c r="H3682" s="2">
        <v>1382</v>
      </c>
      <c r="I3682" s="2" t="inlineStr">
        <is>
          <t>$</t>
        </is>
      </c>
      <c r="J3682" s="2">
        <f>HYPERLINK("https://app.astro.lead-studio.pro/product/b039f9a6-ffc8-4c0f-b42d-379b7539edf3")</f>
      </c>
    </row>
    <row r="3683" spans="1:10" customHeight="0">
      <c r="A3683" s="2" t="inlineStr">
        <is>
          <t>Ноутбуки</t>
        </is>
      </c>
      <c r="B3683" s="2" t="inlineStr">
        <is>
          <t>ASUS</t>
        </is>
      </c>
      <c r="C3683" s="2" t="inlineStr">
        <is>
          <t>90NB1022-M01MB0</t>
        </is>
      </c>
      <c r="D3683" s="2" t="inlineStr">
        <is>
          <t>Ноутбук Asus Vivobook 15 X1504ZA-BQ1104 Core i3 1215U 8Gb SSD512Gb Intel UHD Graphics 15.6" IPS FHD (1920x1080) без ОС silver WiFi BT Cam (90NB1022-M01MB0)</t>
        </is>
      </c>
      <c r="E3683" s="2" t="inlineStr">
        <is>
          <t>+++ </t>
        </is>
      </c>
      <c r="F3683" s="2" t="inlineStr">
        <is>
          <t>+++ </t>
        </is>
      </c>
      <c r="H3683" s="2">
        <v>504</v>
      </c>
      <c r="I3683" s="2" t="inlineStr">
        <is>
          <t>$</t>
        </is>
      </c>
      <c r="J3683" s="2">
        <f>HYPERLINK("https://app.astro.lead-studio.pro/product/38d78833-c5e4-4c3d-95b2-7fceb885c5d9")</f>
      </c>
    </row>
    <row r="3684" spans="1:10" customHeight="0">
      <c r="A3684" s="2" t="inlineStr">
        <is>
          <t>Ноутбуки</t>
        </is>
      </c>
      <c r="B3684" s="2" t="inlineStr">
        <is>
          <t>ASUS</t>
        </is>
      </c>
      <c r="C3684" s="2" t="inlineStr">
        <is>
          <t>90NB1021-M01NX0</t>
        </is>
      </c>
      <c r="D3684" s="2" t="inlineStr">
        <is>
          <t>Ноутбук Asus Vivobook 15 X1504ZA-BQ1143 Core i3 1215U 8Gb SSD512Gb Intel UHD Graphics 15.6" IPS FHD (1920x1080) без ОС blue WiFi BT Cam (90NB1021-M01NX0)</t>
        </is>
      </c>
      <c r="E3684" s="2" t="inlineStr">
        <is>
          <t>+++ </t>
        </is>
      </c>
      <c r="F3684" s="2" t="inlineStr">
        <is>
          <t>+++ </t>
        </is>
      </c>
      <c r="H3684" s="2">
        <v>512</v>
      </c>
      <c r="I3684" s="2" t="inlineStr">
        <is>
          <t>$</t>
        </is>
      </c>
      <c r="J3684" s="2">
        <f>HYPERLINK("https://app.astro.lead-studio.pro/product/c0821260-514b-4dfd-95cc-aa7284993a5d")</f>
      </c>
    </row>
    <row r="3685" spans="1:10" customHeight="0">
      <c r="A3685" s="2" t="inlineStr">
        <is>
          <t>Ноутбуки</t>
        </is>
      </c>
      <c r="B3685" s="2" t="inlineStr">
        <is>
          <t>ASUS</t>
        </is>
      </c>
      <c r="C3685" s="2" t="inlineStr">
        <is>
          <t>90NB1021-M01NY0</t>
        </is>
      </c>
      <c r="D3685" s="2" t="inlineStr">
        <is>
          <t>Ноутбук Asus Vivobook 15 X1504ZA-BQ1144 Core i3 1215U 16Gb SSD512Gb Intel UHD Graphics 15.6" IPS FHD (1920x1080) без ОС blue WiFi BT Cam (90NB1021-M01NY0)</t>
        </is>
      </c>
      <c r="E3685" s="2" t="inlineStr">
        <is>
          <t>+++ </t>
        </is>
      </c>
      <c r="F3685" s="2" t="inlineStr">
        <is>
          <t>+++ </t>
        </is>
      </c>
      <c r="H3685" s="2">
        <v>546</v>
      </c>
      <c r="I3685" s="2" t="inlineStr">
        <is>
          <t>$</t>
        </is>
      </c>
      <c r="J3685" s="2">
        <f>HYPERLINK("https://app.astro.lead-studio.pro/product/f545ef58-946a-4cc8-b43a-4d5e675ca606")</f>
      </c>
    </row>
    <row r="3686" spans="1:10" customHeight="0">
      <c r="A3686" s="2" t="inlineStr">
        <is>
          <t>Ноутбуки</t>
        </is>
      </c>
      <c r="B3686" s="2" t="inlineStr">
        <is>
          <t>ASUS</t>
        </is>
      </c>
      <c r="C3686" s="2" t="inlineStr">
        <is>
          <t>90NB1022-M01P00</t>
        </is>
      </c>
      <c r="D3686" s="2" t="inlineStr">
        <is>
          <t>Ноутбук Asus Vivobook 15 X1504ZA-BQ451 Core i5 1235U 8Gb SSD512Gb Intel UHD Graphics 15.6" IPS FHD (1920x1080) без ОС silver WiFi BT Cam (90NB1022-M01P00)</t>
        </is>
      </c>
      <c r="E3686" s="2" t="inlineStr">
        <is>
          <t>+++ </t>
        </is>
      </c>
      <c r="F3686" s="2" t="inlineStr">
        <is>
          <t>+++ </t>
        </is>
      </c>
      <c r="H3686" s="2">
        <v>624</v>
      </c>
      <c r="I3686" s="2" t="inlineStr">
        <is>
          <t>$</t>
        </is>
      </c>
      <c r="J3686" s="2">
        <f>HYPERLINK("https://app.astro.lead-studio.pro/product/46814615-8b3c-4aca-a113-74d94bf99467")</f>
      </c>
    </row>
    <row r="3687" spans="1:10" customHeight="0">
      <c r="A3687" s="2" t="inlineStr">
        <is>
          <t>Ноутбуки</t>
        </is>
      </c>
      <c r="B3687" s="2" t="inlineStr">
        <is>
          <t>ASUS</t>
        </is>
      </c>
      <c r="C3687" s="2" t="inlineStr">
        <is>
          <t>90NB10N3-M01320</t>
        </is>
      </c>
      <c r="D3687" s="2" t="inlineStr">
        <is>
          <t>Ноутбук Asus VivoBook 16 X1605VA-MB874 Core i5 13500H 16Gb SSD512Gb Intel Iris Xe graphics 16" IPS WUXGA (1920x1200) без ОС black WiFi BT Cam (90NB10N3-M01320)</t>
        </is>
      </c>
      <c r="E3687" s="2" t="inlineStr">
        <is>
          <t>+++ </t>
        </is>
      </c>
      <c r="F3687" s="2" t="inlineStr">
        <is>
          <t>+++ </t>
        </is>
      </c>
      <c r="H3687" s="2">
        <v>757</v>
      </c>
      <c r="I3687" s="2" t="inlineStr">
        <is>
          <t>$</t>
        </is>
      </c>
      <c r="J3687" s="2">
        <f>HYPERLINK("https://app.astro.lead-studio.pro/product/0f2712a0-5079-4f52-957b-5afb10e5a6f5")</f>
      </c>
    </row>
    <row r="3688" spans="1:10" customHeight="0">
      <c r="A3688" s="2" t="inlineStr">
        <is>
          <t>Ноутбуки</t>
        </is>
      </c>
      <c r="B3688" s="2" t="inlineStr">
        <is>
          <t>ASUS</t>
        </is>
      </c>
      <c r="C3688" s="2" t="inlineStr">
        <is>
          <t>90NB10N3-M014L0</t>
        </is>
      </c>
      <c r="D3688" s="2" t="inlineStr">
        <is>
          <t>Ноутбук Asus VivoBook 16 X1605VA-MB915 Core i5 13500H 32Gb SSD512Gb Intel Iris Xe graphics 16" IPS WUXGA (1920x1200) без ОС black WiFi BT Cam (90NB10N3-M014L0)</t>
        </is>
      </c>
      <c r="E3688" s="2" t="inlineStr">
        <is>
          <t>+++ </t>
        </is>
      </c>
      <c r="F3688" s="2" t="inlineStr">
        <is>
          <t>+++ </t>
        </is>
      </c>
      <c r="H3688" s="2">
        <v>870</v>
      </c>
      <c r="I3688" s="2" t="inlineStr">
        <is>
          <t>$</t>
        </is>
      </c>
      <c r="J3688" s="2">
        <f>HYPERLINK("https://app.astro.lead-studio.pro/product/4b79e096-b8bf-4f45-87e7-b47583d4e916")</f>
      </c>
    </row>
    <row r="3689" spans="1:10" customHeight="0">
      <c r="A3689" s="2" t="inlineStr">
        <is>
          <t>Ноутбуки</t>
        </is>
      </c>
      <c r="B3689" s="2" t="inlineStr">
        <is>
          <t>ASUS</t>
        </is>
      </c>
      <c r="C3689" s="2" t="inlineStr">
        <is>
          <t>90NB10N2-M015A0</t>
        </is>
      </c>
      <c r="D3689" s="2" t="inlineStr">
        <is>
          <t>Ноутбук Asus VivoBook 16 X1605VA-MB934 Core i7 13700H 32Gb SSD1Tb Intel Iris Xe graphics 16" IPS WUXGA (1920x1200) без ОС silver WiFi BT Cam (90NB10N2-M015A0)</t>
        </is>
      </c>
      <c r="E3689" s="2" t="inlineStr">
        <is>
          <t>+++ </t>
        </is>
      </c>
      <c r="F3689" s="2" t="inlineStr">
        <is>
          <t>+++ </t>
        </is>
      </c>
      <c r="H3689" s="2">
        <v>1006</v>
      </c>
      <c r="I3689" s="2" t="inlineStr">
        <is>
          <t>$</t>
        </is>
      </c>
      <c r="J3689" s="2">
        <f>HYPERLINK("https://app.astro.lead-studio.pro/product/153b884f-40f2-45bd-8e08-764a68a44dfe")</f>
      </c>
    </row>
    <row r="3690" spans="1:10" customHeight="0">
      <c r="A3690" s="2" t="inlineStr">
        <is>
          <t>Ноутбуки</t>
        </is>
      </c>
      <c r="B3690" s="2" t="inlineStr">
        <is>
          <t>ASUS</t>
        </is>
      </c>
      <c r="C3690" s="2" t="inlineStr">
        <is>
          <t>90NB0ZA2-M00VE0</t>
        </is>
      </c>
      <c r="D3690" s="2" t="inlineStr">
        <is>
          <t>Ноутбук Asus VivoBook 16 X1605ZA-MB571W Core i3 1215U 8Gb SSD512Gb Intel UHD Graphics 16" IPS WUXGA (1920x1200) Windows 11 Home silver WiFi BT Cam (90NB0ZA2-M00VE0)</t>
        </is>
      </c>
      <c r="E3690" s="2" t="inlineStr">
        <is>
          <t>+ </t>
        </is>
      </c>
      <c r="F3690" s="2" t="inlineStr">
        <is>
          <t>+ </t>
        </is>
      </c>
      <c r="H3690" s="2">
        <v>506</v>
      </c>
      <c r="I3690" s="2" t="inlineStr">
        <is>
          <t>$</t>
        </is>
      </c>
      <c r="J3690" s="2">
        <f>HYPERLINK("https://app.astro.lead-studio.pro/product/424658b5-3416-4388-bbbc-0e0731fe0067")</f>
      </c>
    </row>
    <row r="3691" spans="1:10" customHeight="0">
      <c r="A3691" s="2" t="inlineStr">
        <is>
          <t>Ноутбуки</t>
        </is>
      </c>
      <c r="B3691" s="2" t="inlineStr">
        <is>
          <t>ASUS</t>
        </is>
      </c>
      <c r="C3691" s="2" t="inlineStr">
        <is>
          <t>90NB1071-M00AW0</t>
        </is>
      </c>
      <c r="D3691" s="2" t="inlineStr">
        <is>
          <t>Ноутбук Asus VivoBook 16X K3604VA-MB268 Core i3 1315U 16Gb SSD512Gb Intel UHD Graphics 16" IPS WUXGA (1920x1200) noOS black WiFi BT Cam (90NB1071-M00AW0)</t>
        </is>
      </c>
      <c r="E3691" s="2" t="inlineStr">
        <is>
          <t>+++ </t>
        </is>
      </c>
      <c r="F3691" s="2" t="inlineStr">
        <is>
          <t>+++ </t>
        </is>
      </c>
      <c r="H3691" s="2">
        <v>654</v>
      </c>
      <c r="I3691" s="2" t="inlineStr">
        <is>
          <t>$</t>
        </is>
      </c>
      <c r="J3691" s="2">
        <f>HYPERLINK("https://app.astro.lead-studio.pro/product/02df7729-9064-4175-ad62-abc2c8581ecd")</f>
      </c>
    </row>
    <row r="3692" spans="1:10" customHeight="0">
      <c r="A3692" s="2" t="inlineStr">
        <is>
          <t>Ноутбуки</t>
        </is>
      </c>
      <c r="B3692" s="2" t="inlineStr">
        <is>
          <t>ASUS</t>
        </is>
      </c>
      <c r="C3692" s="2" t="inlineStr">
        <is>
          <t>90NB11A2-M00D80</t>
        </is>
      </c>
      <c r="D3692" s="2" t="inlineStr">
        <is>
          <t>Ноутбук Asus VivoBook 16X M3604YA-MB303 Ryzen 5 7430U 16Gb SSD512Gb AMD Radeon 16" IPS WUXGA (1920x1200) без ОС silver WiFi BT Cam (90NB11A2-M00D80)</t>
        </is>
      </c>
      <c r="E3692" s="2" t="inlineStr">
        <is>
          <t>+++ </t>
        </is>
      </c>
      <c r="F3692" s="2" t="inlineStr">
        <is>
          <t>+++ </t>
        </is>
      </c>
      <c r="H3692" s="2">
        <v>658</v>
      </c>
      <c r="I3692" s="2" t="inlineStr">
        <is>
          <t>$</t>
        </is>
      </c>
      <c r="J3692" s="2">
        <f>HYPERLINK("https://app.astro.lead-studio.pro/product/787b9498-6188-4933-b24b-fb08e0f47bfa")</f>
      </c>
    </row>
    <row r="3693" spans="1:10" customHeight="0">
      <c r="A3693" s="2" t="inlineStr">
        <is>
          <t>Ноутбуки</t>
        </is>
      </c>
      <c r="B3693" s="2" t="inlineStr">
        <is>
          <t>ASUS</t>
        </is>
      </c>
      <c r="C3693" s="2" t="inlineStr">
        <is>
          <t>90NB10V2-M00FT0</t>
        </is>
      </c>
      <c r="D3693" s="2" t="inlineStr">
        <is>
          <t>Ноутбук Asus Vivobook 17 X1704VA-AU473 Core i7 1355U 16Gb SSD512Gb Intel Iris Xe graphics 17.3" IPS FHD (1920x1080) без ОС blue WiFi BT Cam (90NB10V2-M00FT0)</t>
        </is>
      </c>
      <c r="E3693" s="2" t="inlineStr">
        <is>
          <t>+++ </t>
        </is>
      </c>
      <c r="F3693" s="2" t="inlineStr">
        <is>
          <t>+++ </t>
        </is>
      </c>
      <c r="H3693" s="2">
        <v>843</v>
      </c>
      <c r="I3693" s="2" t="inlineStr">
        <is>
          <t>$</t>
        </is>
      </c>
      <c r="J3693" s="2">
        <f>HYPERLINK("https://app.astro.lead-studio.pro/product/75d23b85-7c6c-41f3-b2d4-2237d1ee8880")</f>
      </c>
    </row>
    <row r="3694" spans="1:10" customHeight="0">
      <c r="A3694" s="2" t="inlineStr">
        <is>
          <t>Ноутбуки</t>
        </is>
      </c>
      <c r="B3694" s="2" t="inlineStr">
        <is>
          <t>ASUS</t>
        </is>
      </c>
      <c r="C3694" s="2" t="inlineStr">
        <is>
          <t>90NB10F2-M00DH0</t>
        </is>
      </c>
      <c r="D3694" s="2" t="inlineStr">
        <is>
          <t>Ноутбук Asus Vivobook 17 X1704ZA-AU333 Core i3 1215U 8Gb SSD512Gb Intel UHD Graphics 17.3" IPS FHD (1920x1080) без ОС blue WiFi BT Cam (90NB10F2-M00DH0)</t>
        </is>
      </c>
      <c r="E3694" s="2" t="inlineStr">
        <is>
          <t>+ </t>
        </is>
      </c>
      <c r="F3694" s="2" t="inlineStr">
        <is>
          <t>+ </t>
        </is>
      </c>
      <c r="H3694" s="2">
        <v>574</v>
      </c>
      <c r="I3694" s="2" t="inlineStr">
        <is>
          <t>$</t>
        </is>
      </c>
      <c r="J3694" s="2">
        <f>HYPERLINK("https://app.astro.lead-studio.pro/product/48afb314-80e6-45a5-8782-44738e52e162")</f>
      </c>
    </row>
    <row r="3695" spans="1:10" customHeight="0">
      <c r="A3695" s="2" t="inlineStr">
        <is>
          <t>Ноутбуки</t>
        </is>
      </c>
      <c r="B3695" s="2" t="inlineStr">
        <is>
          <t>ASUS</t>
        </is>
      </c>
      <c r="C3695" s="2" t="inlineStr">
        <is>
          <t>90NB10F2-M00DD0</t>
        </is>
      </c>
      <c r="D3695" s="2" t="inlineStr">
        <is>
          <t>Ноутбук Asus Vivobook 17 X1704ZA-AU341 Pentium Gold 8505 8Gb SSD512Gb Intel UHD Graphics 17.3" IPS FHD (1920x1080) без ОС blue WiFi BT Cam (90NB10F2-M00DD0)</t>
        </is>
      </c>
      <c r="E3695" s="2" t="inlineStr">
        <is>
          <t>+++ </t>
        </is>
      </c>
      <c r="F3695" s="2" t="inlineStr">
        <is>
          <t>+++ </t>
        </is>
      </c>
      <c r="H3695" s="2">
        <v>542</v>
      </c>
      <c r="I3695" s="2" t="inlineStr">
        <is>
          <t>$</t>
        </is>
      </c>
      <c r="J3695" s="2">
        <f>HYPERLINK("https://app.astro.lead-studio.pro/product/7ce64f8d-cbbb-47e9-b203-89c54152558c")</f>
      </c>
    </row>
    <row r="3696" spans="1:10" customHeight="0">
      <c r="A3696" s="2" t="inlineStr">
        <is>
          <t>Ноутбуки</t>
        </is>
      </c>
      <c r="B3696" s="2" t="inlineStr">
        <is>
          <t>ASUS</t>
        </is>
      </c>
      <c r="C3696" s="2" t="inlineStr">
        <is>
          <t>90NB10F2-M00DF0</t>
        </is>
      </c>
      <c r="D3696" s="2" t="inlineStr">
        <is>
          <t>Ноутбук Asus Vivobook 17 X1704ZA-AU343 Core i5 1235U 16Gb SSD512Gb Intel Iris Xe graphics 17.3" IPS FHD (1920x1080) без ОС blue WiFi BT Cam (90NB10F2-M00DF0)</t>
        </is>
      </c>
      <c r="E3696" s="2" t="inlineStr">
        <is>
          <t>+ </t>
        </is>
      </c>
      <c r="F3696" s="2" t="inlineStr">
        <is>
          <t>+ </t>
        </is>
      </c>
      <c r="H3696" s="2">
        <v>687</v>
      </c>
      <c r="I3696" s="2" t="inlineStr">
        <is>
          <t>$</t>
        </is>
      </c>
      <c r="J3696" s="2">
        <f>HYPERLINK("https://app.astro.lead-studio.pro/product/62c60dd0-223d-4875-bbc6-9b77f7a4ac6e")</f>
      </c>
    </row>
    <row r="3697" spans="1:10" customHeight="0">
      <c r="A3697" s="2" t="inlineStr">
        <is>
          <t>Ноутбуки</t>
        </is>
      </c>
      <c r="B3697" s="2" t="inlineStr">
        <is>
          <t>ASUS</t>
        </is>
      </c>
      <c r="C3697" s="2" t="inlineStr">
        <is>
          <t>90NB1091-M00420</t>
        </is>
      </c>
      <c r="D3697" s="2" t="inlineStr">
        <is>
          <t>Ноутбук Asus VivoBook 17X K3704VA-AU102 Core i9 13900H 16Gb SSD1Tb Intel Iris Xe graphics 17.3" IPS FHD (1920x1080) без ОС black WiFi BT Cam (90NB1091-M00420)</t>
        </is>
      </c>
      <c r="E3697" s="2" t="inlineStr">
        <is>
          <t>+ </t>
        </is>
      </c>
      <c r="F3697" s="2" t="inlineStr">
        <is>
          <t>+ </t>
        </is>
      </c>
      <c r="H3697" s="2">
        <v>1051</v>
      </c>
      <c r="I3697" s="2" t="inlineStr">
        <is>
          <t>$</t>
        </is>
      </c>
      <c r="J3697" s="2">
        <f>HYPERLINK("https://app.astro.lead-studio.pro/product/f95845f3-c093-4784-91ef-40cb7954d410")</f>
      </c>
    </row>
    <row r="3698" spans="1:10" customHeight="0">
      <c r="A3698" s="2" t="inlineStr">
        <is>
          <t>Ноутбуки</t>
        </is>
      </c>
      <c r="B3698" s="2" t="inlineStr">
        <is>
          <t>ASUS</t>
        </is>
      </c>
      <c r="C3698" s="2" t="inlineStr">
        <is>
          <t>90NB1192-M00200</t>
        </is>
      </c>
      <c r="D3698" s="2" t="inlineStr">
        <is>
          <t>Ноутбук Asus VivoBook 17X M3704YA-AU052 Ryzen 7 7730U 16Gb SSD512Gb AMD Radeon 17.3" IPS FHD (1920x1080) без ОС black WiFi BT Cam (90NB1192-M00200)</t>
        </is>
      </c>
      <c r="E3698" s="2" t="inlineStr">
        <is>
          <t>+++ </t>
        </is>
      </c>
      <c r="F3698" s="2" t="inlineStr">
        <is>
          <t>+++ </t>
        </is>
      </c>
      <c r="H3698" s="2">
        <v>797</v>
      </c>
      <c r="I3698" s="2" t="inlineStr">
        <is>
          <t>$</t>
        </is>
      </c>
      <c r="J3698" s="2">
        <f>HYPERLINK("https://app.astro.lead-studio.pro/product/7cdfc30f-0c1a-43bb-a884-49385e65e6a8")</f>
      </c>
    </row>
    <row r="3699" spans="1:10" customHeight="0">
      <c r="A3699" s="2" t="inlineStr">
        <is>
          <t>Ноутбуки</t>
        </is>
      </c>
      <c r="B3699" s="2" t="inlineStr">
        <is>
          <t>ASUS</t>
        </is>
      </c>
      <c r="C3699" s="2" t="inlineStr">
        <is>
          <t>90NB0ZR2-M00L50</t>
        </is>
      </c>
      <c r="D3699" s="2" t="inlineStr">
        <is>
          <t>Ноутбук Asus VivoBook E1504FA-BQ038W Ryzen 5 7520U 8Gb SSD512Gb AMD Radeon 610M 15.6" IPS FHD (1920x1080) Windows 11 Home black WiFi BT Cam (90NB0ZR2-M00L50)</t>
        </is>
      </c>
      <c r="E3699" s="2" t="inlineStr">
        <is>
          <t>+++ </t>
        </is>
      </c>
      <c r="F3699" s="2" t="inlineStr">
        <is>
          <t>+++ </t>
        </is>
      </c>
      <c r="H3699" s="2">
        <v>628</v>
      </c>
      <c r="I3699" s="2" t="inlineStr">
        <is>
          <t>$</t>
        </is>
      </c>
      <c r="J3699" s="2">
        <f>HYPERLINK("https://app.astro.lead-studio.pro/product/265dac6d-18d4-49f4-a566-409104985fe1")</f>
      </c>
    </row>
    <row r="3700" spans="1:10" customHeight="0">
      <c r="A3700" s="2" t="inlineStr">
        <is>
          <t>Ноутбуки</t>
        </is>
      </c>
      <c r="B3700" s="2" t="inlineStr">
        <is>
          <t>ASUS</t>
        </is>
      </c>
      <c r="C3700" s="2" t="inlineStr">
        <is>
          <t>90NB0ZR2-M02270</t>
        </is>
      </c>
      <c r="D3700" s="2" t="inlineStr">
        <is>
          <t>Ноутбук Asus Vivobook Go 15 E1504FA-BQ052 Ryzen 3 7320U 8Gb SSD512Gb AMD Radeon 610M 15.6" IPS FHD (1920x1080) noOS black WiFi BT Cam (90NB0ZR2-M02270)</t>
        </is>
      </c>
      <c r="E3700" s="2" t="inlineStr">
        <is>
          <t>+++ </t>
        </is>
      </c>
      <c r="F3700" s="2" t="inlineStr">
        <is>
          <t>+++ </t>
        </is>
      </c>
      <c r="H3700" s="2">
        <v>470</v>
      </c>
      <c r="I3700" s="2" t="inlineStr">
        <is>
          <t>$</t>
        </is>
      </c>
      <c r="J3700" s="2">
        <f>HYPERLINK("https://app.astro.lead-studio.pro/product/b535af6c-e30c-4db2-a333-7570fa1ffbe0")</f>
      </c>
    </row>
    <row r="3701" spans="1:10" customHeight="0">
      <c r="A3701" s="2" t="inlineStr">
        <is>
          <t>Ноутбуки</t>
        </is>
      </c>
      <c r="B3701" s="2" t="inlineStr">
        <is>
          <t>ASUS</t>
        </is>
      </c>
      <c r="C3701" s="2" t="inlineStr">
        <is>
          <t>90NB0ZR2-M00L10</t>
        </is>
      </c>
      <c r="D3701" s="2" t="inlineStr">
        <is>
          <t>Ноутбук Asus Vivobook Go 15 E1504FA-BQ090 Ryzen 5 7520U 8Gb SSD512Gb AMD Radeon 610M 15.6" IPS FHD (1920x1080) без ОС black WiFi BT Cam (90NB0ZR2-M00L10)</t>
        </is>
      </c>
      <c r="E3701" s="2" t="inlineStr">
        <is>
          <t>+++ </t>
        </is>
      </c>
      <c r="F3701" s="2" t="inlineStr">
        <is>
          <t>+++ </t>
        </is>
      </c>
      <c r="H3701" s="2">
        <v>541</v>
      </c>
      <c r="I3701" s="2" t="inlineStr">
        <is>
          <t>$</t>
        </is>
      </c>
      <c r="J3701" s="2">
        <f>HYPERLINK("https://app.astro.lead-studio.pro/product/b6183fc0-3404-4aca-a900-a8317b819897")</f>
      </c>
    </row>
    <row r="3702" spans="1:10" customHeight="0">
      <c r="A3702" s="2" t="inlineStr">
        <is>
          <t>Ноутбуки</t>
        </is>
      </c>
      <c r="B3702" s="2" t="inlineStr">
        <is>
          <t>ASUS</t>
        </is>
      </c>
      <c r="C3702" s="2" t="inlineStr">
        <is>
          <t>90NB0ZR2-M012Z0</t>
        </is>
      </c>
      <c r="D3702" s="2" t="inlineStr">
        <is>
          <t>Ноутбук Asus Vivobook Go 15 E1504FA-BQ664 Ryzen 5 7520U 16Gb SSD512Gb AMD Radeon 610M 15.6" IPS FHD (1920x1080) без ОС black WiFi BT Cam (90NB0ZR2-M012Z0)</t>
        </is>
      </c>
      <c r="E3702" s="2" t="inlineStr">
        <is>
          <t>+++ </t>
        </is>
      </c>
      <c r="F3702" s="2" t="inlineStr">
        <is>
          <t>+++ </t>
        </is>
      </c>
      <c r="H3702" s="2">
        <v>605</v>
      </c>
      <c r="I3702" s="2" t="inlineStr">
        <is>
          <t>$</t>
        </is>
      </c>
      <c r="J3702" s="2">
        <f>HYPERLINK("https://app.astro.lead-studio.pro/product/ff07184a-6402-4f25-a886-ec407596c3b2")</f>
      </c>
    </row>
    <row r="3703" spans="1:10" customHeight="0">
      <c r="A3703" s="2" t="inlineStr">
        <is>
          <t>Ноутбуки</t>
        </is>
      </c>
      <c r="B3703" s="2" t="inlineStr">
        <is>
          <t>ASUS</t>
        </is>
      </c>
      <c r="C3703" s="2" t="inlineStr">
        <is>
          <t>90NB0ZR2-M01640</t>
        </is>
      </c>
      <c r="D3703" s="2" t="inlineStr">
        <is>
          <t>Ноутбук Asus Vivobook Go 15 E1504FA-BQ719 Ryzen 5 7520U 8Gb SSD512Gb AMD Radeon 610M 15.6" IPS FHD (1920x1080) без ОС black WiFi BT Cam (90NB0ZR2-M01640)</t>
        </is>
      </c>
      <c r="E3703" s="2" t="inlineStr">
        <is>
          <t>+ </t>
        </is>
      </c>
      <c r="F3703" s="2" t="inlineStr">
        <is>
          <t>+ </t>
        </is>
      </c>
      <c r="H3703" s="2">
        <v>542</v>
      </c>
      <c r="I3703" s="2" t="inlineStr">
        <is>
          <t>$</t>
        </is>
      </c>
      <c r="J3703" s="2">
        <f>HYPERLINK("https://app.astro.lead-studio.pro/product/ee48cda6-a1e7-49e3-acf9-4e5f7400dec2")</f>
      </c>
    </row>
    <row r="3704" spans="1:10" customHeight="0">
      <c r="A3704" s="2" t="inlineStr">
        <is>
          <t>Ноутбуки</t>
        </is>
      </c>
      <c r="B3704" s="2" t="inlineStr">
        <is>
          <t>ASUS</t>
        </is>
      </c>
      <c r="C3704" s="2" t="inlineStr">
        <is>
          <t>90NB0ZR2-M01C60</t>
        </is>
      </c>
      <c r="D3704" s="2" t="inlineStr">
        <is>
          <t>Ноутбук Asus Vivobook Go 15 E1504FA-BQ832W Ryzen 5 7520U 16Gb SSD512Gb AMD Radeon 610M 15.6" IPS FHD (1920x1080) Windows 11 Home black WiFi BT Cam (90NB0ZR2-M01C60)</t>
        </is>
      </c>
      <c r="E3704" s="2" t="inlineStr">
        <is>
          <t>+++ </t>
        </is>
      </c>
      <c r="F3704" s="2" t="inlineStr">
        <is>
          <t>+++ </t>
        </is>
      </c>
      <c r="H3704" s="2">
        <v>716</v>
      </c>
      <c r="I3704" s="2" t="inlineStr">
        <is>
          <t>$</t>
        </is>
      </c>
      <c r="J3704" s="2">
        <f>HYPERLINK("https://app.astro.lead-studio.pro/product/d657584c-1b33-4c31-8b28-d94e185b2da7")</f>
      </c>
    </row>
    <row r="3705" spans="1:10" customHeight="0">
      <c r="A3705" s="2" t="inlineStr">
        <is>
          <t>Ноутбуки</t>
        </is>
      </c>
      <c r="B3705" s="2" t="inlineStr">
        <is>
          <t>ASUS</t>
        </is>
      </c>
      <c r="C3705" s="2" t="inlineStr">
        <is>
          <t>90NB0ZT2-M00XJ0</t>
        </is>
      </c>
      <c r="D3705" s="2" t="inlineStr">
        <is>
          <t>Ноутбук Asus Vivobook Go 15 E1504GA-BQ550 Core i3 N305 8Gb eMMC256Gb Intel UHD Graphics 15.6" IPS FHD (1920x1080) без ОС black WiFi BT Cam (90NB0ZT2-M00XJ0)</t>
        </is>
      </c>
      <c r="E3705" s="2" t="inlineStr">
        <is>
          <t>+++ </t>
        </is>
      </c>
      <c r="F3705" s="2" t="inlineStr">
        <is>
          <t>+++ </t>
        </is>
      </c>
      <c r="H3705" s="2">
        <v>425</v>
      </c>
      <c r="I3705" s="2" t="inlineStr">
        <is>
          <t>$</t>
        </is>
      </c>
      <c r="J3705" s="2">
        <f>HYPERLINK("https://app.astro.lead-studio.pro/product/b0b86331-fd49-45cc-9219-d14c8b9f0a94")</f>
      </c>
    </row>
    <row r="3706" spans="1:10" customHeight="0">
      <c r="A3706" s="2" t="inlineStr">
        <is>
          <t>Ноутбуки</t>
        </is>
      </c>
      <c r="B3706" s="2" t="inlineStr">
        <is>
          <t>ASUS</t>
        </is>
      </c>
      <c r="C3706" s="2" t="inlineStr">
        <is>
          <t>90NB0ZT2-M00Y00</t>
        </is>
      </c>
      <c r="D3706" s="2" t="inlineStr">
        <is>
          <t>Ноутбук Asus Vivobook Go 15 E1504GA-BQ561 N-series N100 8Gb eMMC256Gb Intel UHD Graphics 15.6" IPS FHD (1920x1080) без ОС black WiFi BT Cam (90NB0ZT2-M00Y00)</t>
        </is>
      </c>
      <c r="E3706" s="2" t="inlineStr">
        <is>
          <t>+++ </t>
        </is>
      </c>
      <c r="F3706" s="2" t="inlineStr">
        <is>
          <t>+++ </t>
        </is>
      </c>
      <c r="H3706" s="2">
        <v>356</v>
      </c>
      <c r="I3706" s="2" t="inlineStr">
        <is>
          <t>$</t>
        </is>
      </c>
      <c r="J3706" s="2">
        <f>HYPERLINK("https://app.astro.lead-studio.pro/product/29c8390c-dabd-4feb-855d-3671e9f09a62")</f>
      </c>
    </row>
    <row r="3707" spans="1:10" customHeight="0">
      <c r="A3707" s="2" t="inlineStr">
        <is>
          <t>Ноутбуки</t>
        </is>
      </c>
      <c r="B3707" s="2" t="inlineStr">
        <is>
          <t>ASUS</t>
        </is>
      </c>
      <c r="C3707" s="2" t="inlineStr">
        <is>
          <t>90NB12Z3-M00570</t>
        </is>
      </c>
      <c r="D3707" s="2" t="inlineStr">
        <is>
          <t>Ноутбук Asus Vivobook Pro 15 OLED N6506MU-MA100 Core Ultra 7 155H 16Gb SSD1Tb NVIDIA GeForce RTX4050 6Gb 15.6" OLED 3K (2880x1620) без ОС grey WiFi BT Cam (90NB12Z3-M00570)</t>
        </is>
      </c>
      <c r="E3707" s="2" t="inlineStr">
        <is>
          <t>+ </t>
        </is>
      </c>
      <c r="F3707" s="2" t="inlineStr">
        <is>
          <t>+ </t>
        </is>
      </c>
      <c r="H3707" s="2">
        <v>1706</v>
      </c>
      <c r="I3707" s="2" t="inlineStr">
        <is>
          <t>$</t>
        </is>
      </c>
      <c r="J3707" s="2">
        <f>HYPERLINK("https://app.astro.lead-studio.pro/product/1377825e-efe9-46b0-a4d7-8d6e0bf0cf67")</f>
      </c>
    </row>
    <row r="3708" spans="1:10" customHeight="0">
      <c r="A3708" s="2" t="inlineStr">
        <is>
          <t>Ноутбуки</t>
        </is>
      </c>
      <c r="B3708" s="2" t="inlineStr">
        <is>
          <t>ASUS</t>
        </is>
      </c>
      <c r="C3708" s="2" t="inlineStr">
        <is>
          <t>90NB14Q2-M00B40</t>
        </is>
      </c>
      <c r="D3708" s="2" t="inlineStr">
        <is>
          <t>Ноутбук Asus Vivobook S 15 OLED S5507QA-MA013W Snapdragon X Plus X1P-42-100 16Gb SSD1Tb Qualcomm Adreno 15.6" OLED 3K (2880x1620) Windows 11 Home silver WiFi BT Cam (90NB14Q2-M00B40)</t>
        </is>
      </c>
      <c r="E3708" s="2" t="inlineStr">
        <is>
          <t>+ </t>
        </is>
      </c>
      <c r="F3708" s="2" t="inlineStr">
        <is>
          <t>+ </t>
        </is>
      </c>
      <c r="H3708" s="2">
        <v>1365</v>
      </c>
      <c r="I3708" s="2" t="inlineStr">
        <is>
          <t>$</t>
        </is>
      </c>
      <c r="J3708" s="2">
        <f>HYPERLINK("https://app.astro.lead-studio.pro/product/b5db8594-505d-44a9-8fc2-afbc249aec80")</f>
      </c>
    </row>
    <row r="3709" spans="1:10" customHeight="0">
      <c r="A3709" s="2" t="inlineStr">
        <is>
          <t>Ноутбуки</t>
        </is>
      </c>
      <c r="B3709" s="2" t="inlineStr">
        <is>
          <t>ASUS</t>
        </is>
      </c>
      <c r="C3709" s="2" t="inlineStr">
        <is>
          <t>90NB14Q2-M00630</t>
        </is>
      </c>
      <c r="D3709" s="2" t="inlineStr">
        <is>
          <t>Ноутбук Asus Vivobook S 15 OLED S5507QA-MA052W Snapdragon X Elite X1E-78-100 32Gb SSD1Tb Qualcomm Adreno 15.6" OLED 3K (2880x1620) Windows 11 Home silver WiFi BT Cam (90NB14Q2-M00630)</t>
        </is>
      </c>
      <c r="E3709" s="2" t="inlineStr">
        <is>
          <t>+ </t>
        </is>
      </c>
      <c r="F3709" s="2" t="inlineStr">
        <is>
          <t>+ </t>
        </is>
      </c>
      <c r="H3709" s="2">
        <v>1697</v>
      </c>
      <c r="I3709" s="2" t="inlineStr">
        <is>
          <t>$</t>
        </is>
      </c>
      <c r="J3709" s="2">
        <f>HYPERLINK("https://app.astro.lead-studio.pro/product/c04a3688-65db-4616-b47a-36c21d55446b")</f>
      </c>
    </row>
    <row r="3710" spans="1:10" customHeight="0">
      <c r="A3710" s="2" t="inlineStr">
        <is>
          <t>Ноутбуки</t>
        </is>
      </c>
      <c r="B3710" s="2" t="inlineStr">
        <is>
          <t>ASUS</t>
        </is>
      </c>
      <c r="C3710" s="2" t="inlineStr">
        <is>
          <t>90NB1493-M006B0</t>
        </is>
      </c>
      <c r="D3710" s="2" t="inlineStr">
        <is>
          <t>Ноутбук Asus VivoBook S14 OLED M5406NA-QD109 Ryzen 5 7535HS 16Gb SSD1Tb AMD Radeon 14" OLED WUXGA (1920x1200) без ОС black WiFi BT Cam (90NB1493-M006B0)</t>
        </is>
      </c>
      <c r="E3710" s="2" t="inlineStr">
        <is>
          <t>+++ </t>
        </is>
      </c>
      <c r="F3710" s="2" t="inlineStr">
        <is>
          <t>+++ </t>
        </is>
      </c>
      <c r="H3710" s="2">
        <v>976</v>
      </c>
      <c r="I3710" s="2" t="inlineStr">
        <is>
          <t>$</t>
        </is>
      </c>
      <c r="J3710" s="2">
        <f>HYPERLINK("https://app.astro.lead-studio.pro/product/3d1dac6e-66c0-4522-93c2-f5ca905fbd22")</f>
      </c>
    </row>
    <row r="3711" spans="1:10" customHeight="0">
      <c r="A3711" s="2" t="inlineStr">
        <is>
          <t>Ноутбуки</t>
        </is>
      </c>
      <c r="B3711" s="2" t="inlineStr">
        <is>
          <t>ASUS</t>
        </is>
      </c>
      <c r="C3711" s="2" t="inlineStr">
        <is>
          <t>90NB14P1-M007L0</t>
        </is>
      </c>
      <c r="D3711" s="2" t="inlineStr">
        <is>
          <t>Ноутбук Asus VivoBook S14 OLED M5406WA-QD127 Ryzen AI 9 365 24Gb SSD1Tb AMD Radeon 880M 14" OLED WUXGA (1920x1200) без ОС silver WiFi BT Cam (90NB14P1-M007L0)</t>
        </is>
      </c>
      <c r="E3711" s="2" t="inlineStr">
        <is>
          <t>+ </t>
        </is>
      </c>
      <c r="F3711" s="2" t="inlineStr">
        <is>
          <t>+ </t>
        </is>
      </c>
      <c r="H3711" s="2">
        <v>1370</v>
      </c>
      <c r="I3711" s="2" t="inlineStr">
        <is>
          <t>$</t>
        </is>
      </c>
      <c r="J3711" s="2">
        <f>HYPERLINK("https://app.astro.lead-studio.pro/product/0accba01-3544-46cf-a812-5e02f17dacd3")</f>
      </c>
    </row>
    <row r="3712" spans="1:10" customHeight="0">
      <c r="A3712" s="2" t="inlineStr">
        <is>
          <t>Ноутбуки</t>
        </is>
      </c>
      <c r="B3712" s="2" t="inlineStr">
        <is>
          <t>ASUS</t>
        </is>
      </c>
      <c r="C3712" s="2" t="inlineStr">
        <is>
          <t>90NB15R3-M00CB0</t>
        </is>
      </c>
      <c r="D3712" s="2" t="inlineStr">
        <is>
          <t>Ноутбук Asus VivoBook S14 S5406SA-QD200 Core Ultra 7 258V 32Gb SSD1Tb Intel Arc 140V 14" OLED WUXGA (1920x1200) без ОС black WiFi BT Cam (90NB15R3-M00CB0)</t>
        </is>
      </c>
      <c r="E3712" s="2" t="inlineStr">
        <is>
          <t>+ </t>
        </is>
      </c>
      <c r="F3712" s="2" t="inlineStr">
        <is>
          <t>+ </t>
        </is>
      </c>
      <c r="H3712" s="2">
        <v>1465</v>
      </c>
      <c r="I3712" s="2" t="inlineStr">
        <is>
          <t>$</t>
        </is>
      </c>
      <c r="J3712" s="2">
        <f>HYPERLINK("https://app.astro.lead-studio.pro/product/18c52b81-3440-4cd2-8c73-0978b0cba892")</f>
      </c>
    </row>
    <row r="3713" spans="1:10" customHeight="0">
      <c r="A3713" s="2" t="inlineStr">
        <is>
          <t>Ноутбуки</t>
        </is>
      </c>
      <c r="B3713" s="2" t="inlineStr">
        <is>
          <t>ASUS</t>
        </is>
      </c>
      <c r="C3713" s="2" t="inlineStr">
        <is>
          <t>90NB14D3-M004S0</t>
        </is>
      </c>
      <c r="D3713" s="2" t="inlineStr">
        <is>
          <t>Ноутбук Asus VivoBook S15 OLED M5506NA-MA013 Ryzen 5 7535HS 16Gb SSD1Tb AMD Radeon 15.6" OLED 3K (2880x1620) без ОС silver WiFi BT Cam (90NB14D3-M004S0)</t>
        </is>
      </c>
      <c r="E3713" s="2" t="inlineStr">
        <is>
          <t>++ </t>
        </is>
      </c>
      <c r="F3713" s="2" t="inlineStr">
        <is>
          <t>++ </t>
        </is>
      </c>
      <c r="H3713" s="2">
        <v>996</v>
      </c>
      <c r="I3713" s="2" t="inlineStr">
        <is>
          <t>$</t>
        </is>
      </c>
      <c r="J3713" s="2">
        <f>HYPERLINK("https://app.astro.lead-studio.pro/product/8d5cf8e6-7ff1-489c-b0f8-dac187335a56")</f>
      </c>
    </row>
    <row r="3714" spans="1:10" customHeight="0">
      <c r="A3714" s="2" t="inlineStr">
        <is>
          <t>Ноутбуки</t>
        </is>
      </c>
      <c r="B3714" s="2" t="inlineStr">
        <is>
          <t>ASUS</t>
        </is>
      </c>
      <c r="C3714" s="2" t="inlineStr">
        <is>
          <t>90NB11R1-M01UB0</t>
        </is>
      </c>
      <c r="D3714" s="2" t="inlineStr">
        <is>
          <t>Ноутбук Asus Zenbook 14 OLED UX3405MA-QD1016 Core Ultra 9 185H 32Gb SSD512Gb Intel Arc 14" OLED FHD+ (1920x1200) noOS blue WiFi BT Cam Bag (90NB11R1-M01UB0)</t>
        </is>
      </c>
      <c r="E3714" s="2" t="inlineStr">
        <is>
          <t>+++ </t>
        </is>
      </c>
      <c r="F3714" s="2" t="inlineStr">
        <is>
          <t>+++ </t>
        </is>
      </c>
      <c r="H3714" s="2">
        <v>1365</v>
      </c>
      <c r="I3714" s="2" t="inlineStr">
        <is>
          <t>$</t>
        </is>
      </c>
      <c r="J3714" s="2">
        <f>HYPERLINK("https://app.astro.lead-studio.pro/product/7e69a6f6-6cef-4be3-8e2b-45c033c77fe8")</f>
      </c>
    </row>
    <row r="3715" spans="1:10" customHeight="0">
      <c r="A3715" s="2" t="inlineStr">
        <is>
          <t>Ноутбуки</t>
        </is>
      </c>
      <c r="B3715" s="2" t="inlineStr">
        <is>
          <t>ASUS</t>
        </is>
      </c>
      <c r="C3715" s="2" t="inlineStr">
        <is>
          <t>90NB11R2-M01UC0</t>
        </is>
      </c>
      <c r="D3715" s="2" t="inlineStr">
        <is>
          <t>Ноутбук Asus Zenbook 14 OLED UX3405MA-QD1017 Core Ultra 9 185H 32Gb SSD512Gb Intel Arc 14" OLED FHD+ (1920x1200) noOS silver WiFi BT Cam Bag (90NB11R2-M01UC0)</t>
        </is>
      </c>
      <c r="E3715" s="2" t="inlineStr">
        <is>
          <t>+++ </t>
        </is>
      </c>
      <c r="F3715" s="2" t="inlineStr">
        <is>
          <t>+++ </t>
        </is>
      </c>
      <c r="H3715" s="2">
        <v>1369</v>
      </c>
      <c r="I3715" s="2" t="inlineStr">
        <is>
          <t>$</t>
        </is>
      </c>
      <c r="J3715" s="2">
        <f>HYPERLINK("https://app.astro.lead-studio.pro/product/f45f040d-ba9c-4562-afc7-7778bf3ae25e")</f>
      </c>
    </row>
    <row r="3716" spans="1:10" customHeight="0">
      <c r="A3716" s="2" t="inlineStr">
        <is>
          <t>Ноутбуки</t>
        </is>
      </c>
      <c r="B3716" s="2" t="inlineStr">
        <is>
          <t>ASUS</t>
        </is>
      </c>
      <c r="C3716" s="2" t="inlineStr">
        <is>
          <t>90NB11R2-M00SS0</t>
        </is>
      </c>
      <c r="D3716" s="2" t="inlineStr">
        <is>
          <t>Ноутбук Asus Zenbook 14 OLED UX3405MA-QD488W Core Ultra 7 155H 16Gb SSD1Tb Intel Arc 14" OLED FHD+ (1920x1200) Windows 11 Home silver WiFi BT Cam Bag (90NB11R2-M00SS0)</t>
        </is>
      </c>
      <c r="E3716" s="2" t="inlineStr">
        <is>
          <t>++ </t>
        </is>
      </c>
      <c r="F3716" s="2" t="inlineStr">
        <is>
          <t>++ </t>
        </is>
      </c>
      <c r="H3716" s="2">
        <v>1462</v>
      </c>
      <c r="I3716" s="2" t="inlineStr">
        <is>
          <t>$</t>
        </is>
      </c>
      <c r="J3716" s="2">
        <f>HYPERLINK("https://app.astro.lead-studio.pro/product/3d00f2eb-a571-4efa-96ad-b1852bf4361c")</f>
      </c>
    </row>
    <row r="3717" spans="1:10" customHeight="0">
      <c r="A3717" s="2" t="inlineStr">
        <is>
          <t>Ноутбуки</t>
        </is>
      </c>
      <c r="B3717" s="2" t="inlineStr">
        <is>
          <t>ASUS</t>
        </is>
      </c>
      <c r="C3717" s="2" t="inlineStr">
        <is>
          <t>90NB11R1-M01SL0</t>
        </is>
      </c>
      <c r="D3717" s="2" t="inlineStr">
        <is>
          <t>Ноутбук Asus Zenbook 14 OLED UX3405MA-QD986 Core Ultra 5 125H 16Gb SSD512Gb Intel Arc 14" OLED FHD+ (1920x1200) без ОС blue WiFi BT Cam Bag (90NB11R1-M01SL0)</t>
        </is>
      </c>
      <c r="E3717" s="2" t="inlineStr">
        <is>
          <t>++ </t>
        </is>
      </c>
      <c r="F3717" s="2" t="inlineStr">
        <is>
          <t>++ </t>
        </is>
      </c>
      <c r="H3717" s="2">
        <v>1049</v>
      </c>
      <c r="I3717" s="2" t="inlineStr">
        <is>
          <t>$</t>
        </is>
      </c>
      <c r="J3717" s="2">
        <f>HYPERLINK("https://app.astro.lead-studio.pro/product/7025dd98-5f63-40ae-acfb-3291df7203f0")</f>
      </c>
    </row>
    <row r="3718" spans="1:10" customHeight="0">
      <c r="A3718" s="2" t="inlineStr">
        <is>
          <t>Ноутбуки</t>
        </is>
      </c>
      <c r="B3718" s="2" t="inlineStr">
        <is>
          <t>ASUS</t>
        </is>
      </c>
      <c r="C3718" s="2" t="inlineStr">
        <is>
          <t>90NB11R2-M01SN0</t>
        </is>
      </c>
      <c r="D3718" s="2" t="inlineStr">
        <is>
          <t>Ноутбук Asus Zenbook 14 OLED UX3405MA-QD988 Core Ultra 5 125H 16Gb SSD512Gb Intel Arc 14" OLED FHD+ (1920x1200) без ОС silver WiFi BT Cam Bag (90NB11R2-M01SN0)</t>
        </is>
      </c>
      <c r="E3718" s="2" t="inlineStr">
        <is>
          <t>+++ </t>
        </is>
      </c>
      <c r="F3718" s="2" t="inlineStr">
        <is>
          <t>+++ </t>
        </is>
      </c>
      <c r="H3718" s="2">
        <v>1056</v>
      </c>
      <c r="I3718" s="2" t="inlineStr">
        <is>
          <t>$</t>
        </is>
      </c>
      <c r="J3718" s="2">
        <f>HYPERLINK("https://app.astro.lead-studio.pro/product/44c419c2-4d82-401a-b995-188c7d75ae74")</f>
      </c>
    </row>
    <row r="3719" spans="1:10" customHeight="0">
      <c r="A3719" s="2" t="inlineStr">
        <is>
          <t>Ноутбуки</t>
        </is>
      </c>
      <c r="B3719" s="2" t="inlineStr">
        <is>
          <t>ASUS</t>
        </is>
      </c>
      <c r="C3719" s="2" t="inlineStr">
        <is>
          <t>90NB11R1-M01SU0</t>
        </is>
      </c>
      <c r="D3719" s="2" t="inlineStr">
        <is>
          <t>Ноутбук Asus Zenbook 14 OLED UX3405MA-QD992 Core Ultra 9 185H 16Gb SSD512Gb Intel Arc 14" OLED FHD+ (1920x1200) без ОС blue WiFi BT Cam Bag (90NB11R1-M01SU0)</t>
        </is>
      </c>
      <c r="E3719" s="2" t="inlineStr">
        <is>
          <t>+++ </t>
        </is>
      </c>
      <c r="F3719" s="2" t="inlineStr">
        <is>
          <t>+++ </t>
        </is>
      </c>
      <c r="H3719" s="2">
        <v>1235</v>
      </c>
      <c r="I3719" s="2" t="inlineStr">
        <is>
          <t>$</t>
        </is>
      </c>
      <c r="J3719" s="2">
        <f>HYPERLINK("https://app.astro.lead-studio.pro/product/c1c5ad69-f4dd-44e0-b682-198c22d7df75")</f>
      </c>
    </row>
    <row r="3720" spans="1:10" customHeight="0">
      <c r="A3720" s="2" t="inlineStr">
        <is>
          <t>Ноутбуки</t>
        </is>
      </c>
      <c r="B3720" s="2" t="inlineStr">
        <is>
          <t>ASUS</t>
        </is>
      </c>
      <c r="C3720" s="2" t="inlineStr">
        <is>
          <t>90NB11R2-M01SV0</t>
        </is>
      </c>
      <c r="D3720" s="2" t="inlineStr">
        <is>
          <t>Ноутбук Asus Zenbook 14 OLED UX3405MA-QD993 Core Ultra 9 185H 16Gb SSD512Gb Intel Arc 14" OLED FHD+ (1920x1200) noOS silver WiFi BT Cam Bag (90NB11R2-M01SV0)</t>
        </is>
      </c>
      <c r="E3720" s="2" t="inlineStr">
        <is>
          <t>+++ </t>
        </is>
      </c>
      <c r="F3720" s="2" t="inlineStr">
        <is>
          <t>+++ </t>
        </is>
      </c>
      <c r="H3720" s="2">
        <v>1246</v>
      </c>
      <c r="I3720" s="2" t="inlineStr">
        <is>
          <t>$</t>
        </is>
      </c>
      <c r="J3720" s="2">
        <f>HYPERLINK("https://app.astro.lead-studio.pro/product/92708adc-1d53-47a1-be8a-52e8e3ed2952")</f>
      </c>
    </row>
    <row r="3721" spans="1:10" customHeight="0">
      <c r="A3721" s="2" t="inlineStr">
        <is>
          <t>Ноутбуки</t>
        </is>
      </c>
      <c r="B3721" s="2" t="inlineStr">
        <is>
          <t>DELL</t>
        </is>
      </c>
      <c r="C3721" s="2" t="inlineStr">
        <is>
          <t>5450-5560</t>
        </is>
      </c>
      <c r="D3721" s="2" t="inlineStr">
        <is>
          <t>Ноутбук Dell Latitude 5450 Core Ultra 5 125H 16Gb SSD512Gb Intel Arc 14" WVA FHD (1920x1080) Linux grey WiFi BT Cam (5450-5560)</t>
        </is>
      </c>
      <c r="E3721" s="2" t="inlineStr">
        <is>
          <t>+ </t>
        </is>
      </c>
      <c r="F3721" s="2" t="inlineStr">
        <is>
          <t>+ </t>
        </is>
      </c>
      <c r="H3721" s="2">
        <v>1485</v>
      </c>
      <c r="I3721" s="2" t="inlineStr">
        <is>
          <t>$</t>
        </is>
      </c>
      <c r="J3721" s="2">
        <f>HYPERLINK("https://app.astro.lead-studio.pro/product/4b3f6378-5c24-48e7-88ad-ed22ca769969")</f>
      </c>
    </row>
    <row r="3722" spans="1:10" customHeight="0">
      <c r="A3722" s="2" t="inlineStr">
        <is>
          <t>Ноутбуки</t>
        </is>
      </c>
      <c r="B3722" s="2" t="inlineStr">
        <is>
          <t>DELL</t>
        </is>
      </c>
      <c r="C3722" s="2" t="inlineStr">
        <is>
          <t>5450-5280</t>
        </is>
      </c>
      <c r="D3722" s="2" t="inlineStr">
        <is>
          <t>Ноутбук Dell Latitude 5450 Core Ultra 5 125U 8Gb SSD512Gb Intel Graphics 14" WVA FHD (1920x1080) Linux grey WiFi BT Cam (5450-5280)</t>
        </is>
      </c>
      <c r="E3722" s="2" t="inlineStr">
        <is>
          <t>+ </t>
        </is>
      </c>
      <c r="F3722" s="2" t="inlineStr">
        <is>
          <t>+ </t>
        </is>
      </c>
      <c r="H3722" s="2">
        <v>1324</v>
      </c>
      <c r="I3722" s="2" t="inlineStr">
        <is>
          <t>$</t>
        </is>
      </c>
      <c r="J3722" s="2">
        <f>HYPERLINK("https://app.astro.lead-studio.pro/product/dc1b9910-8c49-4b27-aa65-2f2e4212e30f")</f>
      </c>
    </row>
    <row r="3723" spans="1:10" customHeight="0">
      <c r="A3723" s="2" t="inlineStr">
        <is>
          <t>Ноутбуки</t>
        </is>
      </c>
      <c r="B3723" s="2" t="inlineStr">
        <is>
          <t>DELL</t>
        </is>
      </c>
      <c r="C3723" s="2" t="inlineStr">
        <is>
          <t>5450-7560</t>
        </is>
      </c>
      <c r="D3723" s="2" t="inlineStr">
        <is>
          <t>Ноутбук Dell Latitude 5450 Core Ultra 7 155U 16Gb SSD512Gb Intel Graphics 14" WVA FHD (1920x1080) Linux grey WiFi BT Cam (5450-7560)</t>
        </is>
      </c>
      <c r="E3723" s="2" t="inlineStr">
        <is>
          <t>+ </t>
        </is>
      </c>
      <c r="F3723" s="2" t="inlineStr">
        <is>
          <t>+ </t>
        </is>
      </c>
      <c r="H3723" s="2">
        <v>1652</v>
      </c>
      <c r="I3723" s="2" t="inlineStr">
        <is>
          <t>$</t>
        </is>
      </c>
      <c r="J3723" s="2">
        <f>HYPERLINK("https://app.astro.lead-studio.pro/product/1d346ac3-8edc-4acd-9264-17e7f8dd9872")</f>
      </c>
    </row>
    <row r="3724" spans="1:10" customHeight="0">
      <c r="A3724" s="2" t="inlineStr">
        <is>
          <t>Ноутбуки</t>
        </is>
      </c>
      <c r="B3724" s="2" t="inlineStr">
        <is>
          <t>DELL</t>
        </is>
      </c>
      <c r="C3724" s="2" t="inlineStr">
        <is>
          <t>3520-3652</t>
        </is>
      </c>
      <c r="D3724" s="2" t="inlineStr">
        <is>
          <t>Ноутбук Dell Vostro 3520 Core i3 1215U 16Gb SSD512Gb Intel UHD Graphics 15.6" WVA FHD (1920x1080) Windows 11 Professional black WiFi BT Cam (3520-3652)</t>
        </is>
      </c>
      <c r="E3724" s="2" t="inlineStr">
        <is>
          <t>++ </t>
        </is>
      </c>
      <c r="F3724" s="2" t="inlineStr">
        <is>
          <t>++ </t>
        </is>
      </c>
      <c r="H3724" s="2">
        <v>620</v>
      </c>
      <c r="I3724" s="2" t="inlineStr">
        <is>
          <t>$</t>
        </is>
      </c>
      <c r="J3724" s="2">
        <f>HYPERLINK("https://app.astro.lead-studio.pro/product/9953b801-29e5-41a0-84ce-0775634cc9a4")</f>
      </c>
    </row>
    <row r="3725" spans="1:10" customHeight="0">
      <c r="A3725" s="2" t="inlineStr">
        <is>
          <t>Ноутбуки</t>
        </is>
      </c>
      <c r="B3725" s="2" t="inlineStr">
        <is>
          <t>DELL</t>
        </is>
      </c>
      <c r="C3725" s="2" t="inlineStr">
        <is>
          <t>3520-5650</t>
        </is>
      </c>
      <c r="D3725" s="2" t="inlineStr">
        <is>
          <t>Ноутбук Dell Vostro 3520 Core i5 1235U 16Gb SSD512Gb Intel Iris Xe graphics 15.6" WVA FHD (1920x1080) Linux Ubuntu black WiFi BT Cam (3520-5650)</t>
        </is>
      </c>
      <c r="E3725" s="2" t="inlineStr">
        <is>
          <t>++ </t>
        </is>
      </c>
      <c r="F3725" s="2" t="inlineStr">
        <is>
          <t>++ </t>
        </is>
      </c>
      <c r="H3725" s="2">
        <v>628</v>
      </c>
      <c r="I3725" s="2" t="inlineStr">
        <is>
          <t>$</t>
        </is>
      </c>
      <c r="J3725" s="2">
        <f>HYPERLINK("https://app.astro.lead-studio.pro/product/b277a703-31a2-4861-a500-b11a909a6414")</f>
      </c>
    </row>
    <row r="3726" spans="1:10" customHeight="0">
      <c r="A3726" s="2" t="inlineStr">
        <is>
          <t>Ноутбуки</t>
        </is>
      </c>
      <c r="B3726" s="2" t="inlineStr">
        <is>
          <t>DELL</t>
        </is>
      </c>
      <c r="C3726" s="2" t="inlineStr">
        <is>
          <t>3520-5652</t>
        </is>
      </c>
      <c r="D3726" s="2" t="inlineStr">
        <is>
          <t>Ноутбук Dell Vostro 3520 Core i5 1235U 16Gb SSD512Gb Intel Iris Xe graphics 15.6" WVA FHD (1920x1080) Windows 11 Professional black WiFi BT Cam (3520-5652)</t>
        </is>
      </c>
      <c r="E3726" s="2" t="inlineStr">
        <is>
          <t>+++ </t>
        </is>
      </c>
      <c r="F3726" s="2" t="inlineStr">
        <is>
          <t>+++ </t>
        </is>
      </c>
      <c r="H3726" s="2">
        <v>771</v>
      </c>
      <c r="I3726" s="2" t="inlineStr">
        <is>
          <t>$</t>
        </is>
      </c>
      <c r="J3726" s="2">
        <f>HYPERLINK("https://app.astro.lead-studio.pro/product/afbc14e6-85c1-408d-915b-911ea729fe56")</f>
      </c>
    </row>
    <row r="3727" spans="1:10" customHeight="0">
      <c r="A3727" s="2" t="inlineStr">
        <is>
          <t>Ноутбуки</t>
        </is>
      </c>
      <c r="B3727" s="2" t="inlineStr">
        <is>
          <t>DELL</t>
        </is>
      </c>
      <c r="C3727" s="2" t="inlineStr">
        <is>
          <t>3520-5850</t>
        </is>
      </c>
      <c r="D3727" s="2" t="inlineStr">
        <is>
          <t>Ноутбук Dell Vostro 3520 Core i5 1235U 8Gb SSD512Gb Intel UHD Graphics 15.6" WVA FHD (1920x1080) Linux Ubuntu black WiFi BT Cam (3520-5850)</t>
        </is>
      </c>
      <c r="E3727" s="2" t="inlineStr">
        <is>
          <t>+ </t>
        </is>
      </c>
      <c r="F3727" s="2" t="inlineStr">
        <is>
          <t>+ </t>
        </is>
      </c>
      <c r="H3727" s="2">
        <v>593</v>
      </c>
      <c r="I3727" s="2" t="inlineStr">
        <is>
          <t>$</t>
        </is>
      </c>
      <c r="J3727" s="2">
        <f>HYPERLINK("https://app.astro.lead-studio.pro/product/237289ee-a9ef-4827-b974-a02e0176af44")</f>
      </c>
    </row>
    <row r="3728" spans="1:10" customHeight="0">
      <c r="A3728" s="2" t="inlineStr">
        <is>
          <t>Ноутбуки</t>
        </is>
      </c>
      <c r="B3728" s="2" t="inlineStr">
        <is>
          <t>DELL</t>
        </is>
      </c>
      <c r="C3728" s="2" t="inlineStr">
        <is>
          <t>3520-7850</t>
        </is>
      </c>
      <c r="D3728" s="2" t="inlineStr">
        <is>
          <t>Ноутбук Dell Vostro 3520 Core i5 1235U 8Gb SSD512Gb Intel UHD Graphics 15.6" WVA FHD (1920x1080) Linux Ubuntu black WiFi BT Cam (3520-7850)</t>
        </is>
      </c>
      <c r="E3728" s="2" t="inlineStr">
        <is>
          <t>+ </t>
        </is>
      </c>
      <c r="F3728" s="2" t="inlineStr">
        <is>
          <t>+ </t>
        </is>
      </c>
      <c r="H3728" s="2">
        <v>587</v>
      </c>
      <c r="I3728" s="2" t="inlineStr">
        <is>
          <t>$</t>
        </is>
      </c>
      <c r="J3728" s="2">
        <f>HYPERLINK("https://app.astro.lead-studio.pro/product/e88d0b71-3495-42da-829d-899a3cd2b60a")</f>
      </c>
    </row>
    <row r="3729" spans="1:10" customHeight="0">
      <c r="A3729" s="2" t="inlineStr">
        <is>
          <t>Ноутбуки</t>
        </is>
      </c>
      <c r="B3729" s="2" t="inlineStr">
        <is>
          <t>DELL</t>
        </is>
      </c>
      <c r="C3729" s="2" t="inlineStr">
        <is>
          <t>3520-7650</t>
        </is>
      </c>
      <c r="D3729" s="2" t="inlineStr">
        <is>
          <t>Ноутбук Dell Vostro 3520 Core i7 1255U 16Gb SSD512Gb Intel Iris Xe graphics 15.6" WVA FHD (1920x1080) Linux Ubuntu black WiFi BT Cam (3520-7650)</t>
        </is>
      </c>
      <c r="E3729" s="2" t="inlineStr">
        <is>
          <t>+++ </t>
        </is>
      </c>
      <c r="F3729" s="2" t="inlineStr">
        <is>
          <t>+++ </t>
        </is>
      </c>
      <c r="H3729" s="2">
        <v>790</v>
      </c>
      <c r="I3729" s="2" t="inlineStr">
        <is>
          <t>$</t>
        </is>
      </c>
      <c r="J3729" s="2">
        <f>HYPERLINK("https://app.astro.lead-studio.pro/product/ae08631e-b0ee-4673-b2cc-868d5e4d4ec3")</f>
      </c>
    </row>
    <row r="3730" spans="1:10" customHeight="0">
      <c r="A3730" s="2" t="inlineStr">
        <is>
          <t>Ноутбуки</t>
        </is>
      </c>
      <c r="B3730" s="2" t="inlineStr">
        <is>
          <t>DELL</t>
        </is>
      </c>
      <c r="C3730" s="2" t="inlineStr">
        <is>
          <t>3530-5850</t>
        </is>
      </c>
      <c r="D3730" s="2" t="inlineStr">
        <is>
          <t>Ноутбук Dell Vostro 3530 Core i5 1335U 8Gb SSD512Gb Intel UHD Graphics 15.6" WVA FHD (1920x1080) Linux Ubuntu black WiFi BT Cam (3530-5850)</t>
        </is>
      </c>
      <c r="E3730" s="2" t="inlineStr">
        <is>
          <t>++ </t>
        </is>
      </c>
      <c r="F3730" s="2" t="inlineStr">
        <is>
          <t>++ </t>
        </is>
      </c>
      <c r="H3730" s="2">
        <v>668</v>
      </c>
      <c r="I3730" s="2" t="inlineStr">
        <is>
          <t>$</t>
        </is>
      </c>
      <c r="J3730" s="2">
        <f>HYPERLINK("https://app.astro.lead-studio.pro/product/6ad627ee-8b00-4022-9d30-fba7a801921d")</f>
      </c>
    </row>
    <row r="3731" spans="1:10" customHeight="0">
      <c r="A3731" s="2" t="inlineStr">
        <is>
          <t>Ноутбуки</t>
        </is>
      </c>
      <c r="B3731" s="2" t="inlineStr">
        <is>
          <t>DIGMA</t>
        </is>
      </c>
      <c r="C3731" s="2" t="inlineStr">
        <is>
          <t>DN15R3-ADXW01</t>
        </is>
      </c>
      <c r="D3731" s="2" t="inlineStr">
        <is>
          <t>Ноутбук Digma EVE A5820 Ryzen 3 3200U 16Gb SSD512Gb AMD Radeon 15.6" IPS FHD (1920x1080) Windows 11 Professional black WiFi BT Cam 4500mAh (DN15R3-ADXW01)</t>
        </is>
      </c>
      <c r="E3731" s="2" t="inlineStr">
        <is>
          <t>+++ </t>
        </is>
      </c>
      <c r="F3731" s="2" t="inlineStr">
        <is>
          <t>+++ </t>
        </is>
      </c>
      <c r="H3731" s="2">
        <v>364</v>
      </c>
      <c r="I3731" s="2" t="inlineStr">
        <is>
          <t>$</t>
        </is>
      </c>
      <c r="J3731" s="2">
        <f>HYPERLINK("https://app.astro.lead-studio.pro/product/dff15a03-71d8-4673-b11e-544c34b2e0f6")</f>
      </c>
    </row>
    <row r="3732" spans="1:10" customHeight="0">
      <c r="A3732" s="2" t="inlineStr">
        <is>
          <t>Ноутбуки</t>
        </is>
      </c>
      <c r="B3732" s="2" t="inlineStr">
        <is>
          <t>DIGMA</t>
        </is>
      </c>
      <c r="C3732" s="2" t="inlineStr">
        <is>
          <t>DN15R3-8CXW02</t>
        </is>
      </c>
      <c r="D3732" s="2" t="inlineStr">
        <is>
          <t>Ноутбук Digma EVE A5820 Ryzen 3 3200U 8Gb SSD256Gb AMD Radeon 15.6" IPS FHD (1920x1080) Windows 11 Professional black WiFi BT Cam 4500mAh (DN15R3-8CXW02)</t>
        </is>
      </c>
      <c r="E3732" s="2" t="inlineStr">
        <is>
          <t>+++ </t>
        </is>
      </c>
      <c r="F3732" s="2" t="inlineStr">
        <is>
          <t>+++ </t>
        </is>
      </c>
      <c r="H3732" s="2">
        <v>316</v>
      </c>
      <c r="I3732" s="2" t="inlineStr">
        <is>
          <t>$</t>
        </is>
      </c>
      <c r="J3732" s="2">
        <f>HYPERLINK("https://app.astro.lead-studio.pro/product/850cf735-0158-44be-a803-3242b885edd1")</f>
      </c>
    </row>
    <row r="3733" spans="1:10" customHeight="0">
      <c r="A3733" s="2" t="inlineStr">
        <is>
          <t>Ноутбуки</t>
        </is>
      </c>
      <c r="B3733" s="2" t="inlineStr">
        <is>
          <t>DIGMA</t>
        </is>
      </c>
      <c r="C3733" s="2" t="inlineStr">
        <is>
          <t>DN15N1-8CXW01</t>
        </is>
      </c>
      <c r="D3733" s="2" t="inlineStr">
        <is>
          <t>Ноутбук Digma EVE C5802 N-series N100 8Gb SSD256Gb Intel UHD Graphics 15.6" IPS FHD (1920x1080) Windows 11 Professional silver WiFi BT Cam 5900mAh (DN15N1-8CXW01)</t>
        </is>
      </c>
      <c r="E3733" s="2" t="inlineStr">
        <is>
          <t>+++ </t>
        </is>
      </c>
      <c r="F3733" s="2" t="inlineStr">
        <is>
          <t>+++ </t>
        </is>
      </c>
      <c r="H3733" s="2">
        <v>316</v>
      </c>
      <c r="I3733" s="2" t="inlineStr">
        <is>
          <t>$</t>
        </is>
      </c>
      <c r="J3733" s="2">
        <f>HYPERLINK("https://app.astro.lead-studio.pro/product/334aa4ef-e363-46fc-bf3f-b3fa91f26e81")</f>
      </c>
    </row>
    <row r="3734" spans="1:10" customHeight="0">
      <c r="A3734" s="2" t="inlineStr">
        <is>
          <t>Ноутбуки</t>
        </is>
      </c>
      <c r="B3734" s="2" t="inlineStr">
        <is>
          <t>DIGMA</t>
        </is>
      </c>
      <c r="C3734" s="2" t="inlineStr">
        <is>
          <t>DN15CM-ADXW01</t>
        </is>
      </c>
      <c r="D3734" s="2" t="inlineStr">
        <is>
          <t>Ноутбук Digma EVE i5980 Core M3 8100Y 16Gb SSD512Gb Intel UHD Graphics 615 15.6" IPS FHD (1920x1080) Windows 11 Pro grey WiFi BT Cam 5000mAh (DN15CM-ADXW01)</t>
        </is>
      </c>
      <c r="E3734" s="2" t="inlineStr">
        <is>
          <t>+++ </t>
        </is>
      </c>
      <c r="F3734" s="2" t="inlineStr">
        <is>
          <t>+++ </t>
        </is>
      </c>
      <c r="H3734" s="2">
        <v>332</v>
      </c>
      <c r="I3734" s="2" t="inlineStr">
        <is>
          <t>$</t>
        </is>
      </c>
      <c r="J3734" s="2">
        <f>HYPERLINK("https://app.astro.lead-studio.pro/product/2c6075c6-64bc-4aa0-9674-641adcdfb661")</f>
      </c>
    </row>
    <row r="3735" spans="1:10" customHeight="0">
      <c r="A3735" s="2" t="inlineStr">
        <is>
          <t>Ноутбуки</t>
        </is>
      </c>
      <c r="B3735" s="2" t="inlineStr">
        <is>
          <t>DIGMA</t>
        </is>
      </c>
      <c r="C3735" s="2" t="inlineStr">
        <is>
          <t>DN15N5-8CXW05</t>
        </is>
      </c>
      <c r="D3735" s="2" t="inlineStr">
        <is>
          <t>Ноутбук Digma EVE P5851 Pentium Silver N5030 8Gb SSD256Gb Intel UHD Graphics 605 15.6" IPS FHD (1920x1080) Windows 11 Pro silver WiFi BT Cam 5000mAh (DN15N5-8CXW05)</t>
        </is>
      </c>
      <c r="E3735" s="2" t="inlineStr">
        <is>
          <t>+++ </t>
        </is>
      </c>
      <c r="F3735" s="2" t="inlineStr">
        <is>
          <t>+++ </t>
        </is>
      </c>
      <c r="H3735" s="2">
        <v>317</v>
      </c>
      <c r="I3735" s="2" t="inlineStr">
        <is>
          <t>$</t>
        </is>
      </c>
      <c r="J3735" s="2">
        <f>HYPERLINK("https://app.astro.lead-studio.pro/product/9f819200-2860-40a7-be8d-7c0231cde69b")</f>
      </c>
    </row>
    <row r="3736" spans="1:10" customHeight="0">
      <c r="A3736" s="2" t="inlineStr">
        <is>
          <t>Ноутбуки</t>
        </is>
      </c>
      <c r="B3736" s="2" t="inlineStr">
        <is>
          <t>DIGMA</t>
        </is>
      </c>
      <c r="C3736" s="2" t="inlineStr">
        <is>
          <t>DN15N2-ADXW01</t>
        </is>
      </c>
      <c r="D3736" s="2" t="inlineStr">
        <is>
          <t>Ноутбук Digma EVE P5852 N-series N200 16Gb SSD512Gb Intel UHD Graphics 15.6" IPS FHD (1920x1080) Windows 11 Professional silver WiFi BT Cam 5900mAh (DN15N2-ADXW01)</t>
        </is>
      </c>
      <c r="E3736" s="2" t="inlineStr">
        <is>
          <t>+++ </t>
        </is>
      </c>
      <c r="F3736" s="2" t="inlineStr">
        <is>
          <t>+++ </t>
        </is>
      </c>
      <c r="H3736" s="2">
        <v>431</v>
      </c>
      <c r="I3736" s="2" t="inlineStr">
        <is>
          <t>$</t>
        </is>
      </c>
      <c r="J3736" s="2">
        <f>HYPERLINK("https://app.astro.lead-studio.pro/product/497481ec-d750-4902-b21a-0e9229f7798a")</f>
      </c>
    </row>
    <row r="3737" spans="1:10" customHeight="0">
      <c r="A3737" s="2" t="inlineStr">
        <is>
          <t>Ноутбуки</t>
        </is>
      </c>
      <c r="B3737" s="2" t="inlineStr">
        <is>
          <t>DIGMA PRO</t>
        </is>
      </c>
      <c r="C3737" s="2" t="inlineStr">
        <is>
          <t>DN15R5-ADXW09</t>
        </is>
      </c>
      <c r="D3737" s="2" t="inlineStr">
        <is>
          <t>Ноутбук Digma Pro Breve Ryzen 5 7430U 16Gb SSD512Gb AMD Radeon 15.6" IPS FHD (1920x1080) Windows 11 Professional silver WiFi BT Cam 4500mAh (DN15R5-ADXW09)</t>
        </is>
      </c>
      <c r="E3737" s="2" t="inlineStr">
        <is>
          <t>+++ </t>
        </is>
      </c>
      <c r="F3737" s="2" t="inlineStr">
        <is>
          <t>+++ </t>
        </is>
      </c>
      <c r="H3737" s="2">
        <v>517</v>
      </c>
      <c r="I3737" s="2" t="inlineStr">
        <is>
          <t>$</t>
        </is>
      </c>
      <c r="J3737" s="2">
        <f>HYPERLINK("https://app.astro.lead-studio.pro/product/cb52daea-7cf0-42d9-94ee-3ed45c833229")</f>
      </c>
    </row>
    <row r="3738" spans="1:10" customHeight="0">
      <c r="A3738" s="2" t="inlineStr">
        <is>
          <t>Ноутбуки</t>
        </is>
      </c>
      <c r="B3738" s="2" t="inlineStr">
        <is>
          <t>DIGMA PRO</t>
        </is>
      </c>
      <c r="C3738" s="2" t="inlineStr">
        <is>
          <t>DN15R5-8DXW06</t>
        </is>
      </c>
      <c r="D3738" s="2" t="inlineStr">
        <is>
          <t>Ноутбук Digma Pro Breve Ryzen 5 Pro 5675U 8Gb SSD512Gb AMD Radeon 15.6" IPS FHD (1920x1080) Windows 11 Professional silver WiFi BT Cam 4500mAh (DN15R5-8DXW06)</t>
        </is>
      </c>
      <c r="E3738" s="2" t="inlineStr">
        <is>
          <t>+++ </t>
        </is>
      </c>
      <c r="F3738" s="2" t="inlineStr">
        <is>
          <t>+++ </t>
        </is>
      </c>
      <c r="H3738" s="2">
        <v>457</v>
      </c>
      <c r="I3738" s="2" t="inlineStr">
        <is>
          <t>$</t>
        </is>
      </c>
      <c r="J3738" s="2">
        <f>HYPERLINK("https://app.astro.lead-studio.pro/product/17e9fa7e-d27c-4575-99c0-6666d93ce386")</f>
      </c>
    </row>
    <row r="3739" spans="1:10" customHeight="0">
      <c r="A3739" s="2" t="inlineStr">
        <is>
          <t>Ноутбуки</t>
        </is>
      </c>
      <c r="B3739" s="2" t="inlineStr">
        <is>
          <t>DIGMA PRO</t>
        </is>
      </c>
      <c r="C3739" s="2" t="inlineStr">
        <is>
          <t>DN15R7-ADXW01</t>
        </is>
      </c>
      <c r="D3739" s="2" t="inlineStr">
        <is>
          <t>Ноутбук Digma Pro Breve Ryzen 7 5700U 16Gb SSD512Gb AMD Radeon 15.6" IPS FHD (1920x1080) Windows 11 Pro silver WiFi BT Cam 4500mAh (DN15R7-ADXW01)</t>
        </is>
      </c>
      <c r="E3739" s="2" t="inlineStr">
        <is>
          <t>+++ </t>
        </is>
      </c>
      <c r="F3739" s="2" t="inlineStr">
        <is>
          <t>+++ </t>
        </is>
      </c>
      <c r="H3739" s="2">
        <v>565</v>
      </c>
      <c r="I3739" s="2" t="inlineStr">
        <is>
          <t>$</t>
        </is>
      </c>
      <c r="J3739" s="2">
        <f>HYPERLINK("https://app.astro.lead-studio.pro/product/f765f2b7-6ead-4d26-95ef-fc6c5050bbc2")</f>
      </c>
    </row>
    <row r="3740" spans="1:10" customHeight="0">
      <c r="A3740" s="2" t="inlineStr">
        <is>
          <t>Ноутбуки</t>
        </is>
      </c>
      <c r="B3740" s="2" t="inlineStr">
        <is>
          <t>DIGMA PRO</t>
        </is>
      </c>
      <c r="C3740" s="2" t="inlineStr">
        <is>
          <t>DN15R7-ADXW02</t>
        </is>
      </c>
      <c r="D3740" s="2" t="inlineStr">
        <is>
          <t>Ноутбук Digma Pro Breve Ryzen 7 5800U 16Gb SSD512Gb AMD Radeon 15.6" IPS FHD (1920x1080) Windows 11 Pro dk.grey WiFi BT Cam 4500mAh (DN15R7-ADXW02)</t>
        </is>
      </c>
      <c r="E3740" s="2" t="inlineStr">
        <is>
          <t>+++ </t>
        </is>
      </c>
      <c r="F3740" s="2" t="inlineStr">
        <is>
          <t>+++ </t>
        </is>
      </c>
      <c r="H3740" s="2">
        <v>588</v>
      </c>
      <c r="I3740" s="2" t="inlineStr">
        <is>
          <t>$</t>
        </is>
      </c>
      <c r="J3740" s="2">
        <f>HYPERLINK("https://app.astro.lead-studio.pro/product/b2bc0253-d9e9-400d-955f-0ba06b0eeba4")</f>
      </c>
    </row>
    <row r="3741" spans="1:10" customHeight="0">
      <c r="A3741" s="2" t="inlineStr">
        <is>
          <t>Ноутбуки</t>
        </is>
      </c>
      <c r="B3741" s="2" t="inlineStr">
        <is>
          <t>DIGMA PRO</t>
        </is>
      </c>
      <c r="C3741" s="2" t="inlineStr">
        <is>
          <t>DN14P3-ADXW01</t>
        </is>
      </c>
      <c r="D3741" s="2" t="inlineStr">
        <is>
          <t>Ноутбук Digma Pro Fortis Core i3 1005G1 16Gb SSD512Gb Intel UHD Graphics 14.1" IPS FHD (1920x1080) Windows 11 Pro grey WiFi BT Cam 4000mAh (DN14P3-ADXW01)</t>
        </is>
      </c>
      <c r="E3741" s="2" t="inlineStr">
        <is>
          <t>+++ </t>
        </is>
      </c>
      <c r="F3741" s="2" t="inlineStr">
        <is>
          <t>+++ </t>
        </is>
      </c>
      <c r="H3741" s="2">
        <v>385</v>
      </c>
      <c r="I3741" s="2" t="inlineStr">
        <is>
          <t>$</t>
        </is>
      </c>
      <c r="J3741" s="2">
        <f>HYPERLINK("https://app.astro.lead-studio.pro/product/652c9ca6-424e-4e8b-8ae2-d6c6534636b9")</f>
      </c>
    </row>
    <row r="3742" spans="1:10" customHeight="0">
      <c r="A3742" s="2" t="inlineStr">
        <is>
          <t>Ноутбуки</t>
        </is>
      </c>
      <c r="B3742" s="2" t="inlineStr">
        <is>
          <t>DIGMA PRO</t>
        </is>
      </c>
      <c r="C3742" s="2" t="inlineStr">
        <is>
          <t>DN15P3-ADXW01</t>
        </is>
      </c>
      <c r="D3742" s="2" t="inlineStr">
        <is>
          <t>Ноутбук Digma Pro Fortis Core i3 1005G1 16Gb SSD512Gb Intel UHD Graphics 15.6" IPS FHD (1920x1080) Windows 11 Pro grey WiFi BT Cam 4250mAh (DN15P3-ADXW01)</t>
        </is>
      </c>
      <c r="E3742" s="2" t="inlineStr">
        <is>
          <t>+++ </t>
        </is>
      </c>
      <c r="F3742" s="2" t="inlineStr">
        <is>
          <t>+++ </t>
        </is>
      </c>
      <c r="H3742" s="2">
        <v>397</v>
      </c>
      <c r="I3742" s="2" t="inlineStr">
        <is>
          <t>$</t>
        </is>
      </c>
      <c r="J3742" s="2">
        <f>HYPERLINK("https://app.astro.lead-studio.pro/product/e469f97c-6ef5-44c0-9057-77d4b6a81cf8")</f>
      </c>
    </row>
    <row r="3743" spans="1:10" customHeight="0">
      <c r="A3743" s="2" t="inlineStr">
        <is>
          <t>Ноутбуки</t>
        </is>
      </c>
      <c r="B3743" s="2" t="inlineStr">
        <is>
          <t>DIGMA PRO</t>
        </is>
      </c>
      <c r="C3743" s="2" t="inlineStr">
        <is>
          <t>DN14P3-8DXW01</t>
        </is>
      </c>
      <c r="D3743" s="2" t="inlineStr">
        <is>
          <t>Ноутбук Digma Pro Fortis Core i3 1005G1 8Gb SSD512Gb Intel UHD Graphics 14.1" IPS FHD (1920x1080) Windows 11 Pro grey WiFi BT Cam 4000mAh (DN14P3-8DXW01)</t>
        </is>
      </c>
      <c r="E3743" s="2" t="inlineStr">
        <is>
          <t>+ </t>
        </is>
      </c>
      <c r="F3743" s="2" t="inlineStr">
        <is>
          <t>+ </t>
        </is>
      </c>
      <c r="H3743" s="2">
        <v>354</v>
      </c>
      <c r="I3743" s="2" t="inlineStr">
        <is>
          <t>$</t>
        </is>
      </c>
      <c r="J3743" s="2">
        <f>HYPERLINK("https://app.astro.lead-studio.pro/product/98dc180c-3d4d-4c82-85ad-a7c647a85269")</f>
      </c>
    </row>
    <row r="3744" spans="1:10" customHeight="0">
      <c r="A3744" s="2" t="inlineStr">
        <is>
          <t>Ноутбуки</t>
        </is>
      </c>
      <c r="B3744" s="2" t="inlineStr">
        <is>
          <t>DIGMA PRO</t>
        </is>
      </c>
      <c r="C3744" s="2" t="inlineStr">
        <is>
          <t>DN15P3-8DXW03</t>
        </is>
      </c>
      <c r="D3744" s="2" t="inlineStr">
        <is>
          <t>Ноутбук Digma Pro Fortis Core i3 1005G1 8Gb SSD512Gb Intel UHD Graphics 15.6" IPS FHD (1920x1080) Windows 11 Pro grey WiFi BT Cam 4250mAh (DN15P3-8DXW03)</t>
        </is>
      </c>
      <c r="E3744" s="2" t="inlineStr">
        <is>
          <t>+++ </t>
        </is>
      </c>
      <c r="F3744" s="2" t="inlineStr">
        <is>
          <t>+++ </t>
        </is>
      </c>
      <c r="H3744" s="2">
        <v>363</v>
      </c>
      <c r="I3744" s="2" t="inlineStr">
        <is>
          <t>$</t>
        </is>
      </c>
      <c r="J3744" s="2">
        <f>HYPERLINK("https://app.astro.lead-studio.pro/product/0a13aec0-4f58-49a6-a67c-d03734ac8333")</f>
      </c>
    </row>
    <row r="3745" spans="1:10" customHeight="0">
      <c r="A3745" s="2" t="inlineStr">
        <is>
          <t>Ноутбуки</t>
        </is>
      </c>
      <c r="B3745" s="2" t="inlineStr">
        <is>
          <t>DIGMA PRO</t>
        </is>
      </c>
      <c r="C3745" s="2" t="inlineStr">
        <is>
          <t>DN17P3-ADXW03</t>
        </is>
      </c>
      <c r="D3745" s="2" t="inlineStr">
        <is>
          <t>Ноутбук Digma Pro Fortis M Core i3 1005G1 16Gb SSD512Gb Intel UHD Graphics 17.3" IPS FHD (1920x1080) Windows 11 Pro grey WiFi BT Cam 5500mAh (DN17P3-ADXW03)</t>
        </is>
      </c>
      <c r="E3745" s="2" t="inlineStr">
        <is>
          <t>+++ </t>
        </is>
      </c>
      <c r="F3745" s="2" t="inlineStr">
        <is>
          <t>+++ </t>
        </is>
      </c>
      <c r="H3745" s="2">
        <v>504</v>
      </c>
      <c r="I3745" s="2" t="inlineStr">
        <is>
          <t>$</t>
        </is>
      </c>
      <c r="J3745" s="2">
        <f>HYPERLINK("https://app.astro.lead-studio.pro/product/ff87acf3-a883-4004-be8a-ccdfbe487705")</f>
      </c>
    </row>
    <row r="3746" spans="1:10" customHeight="0">
      <c r="A3746" s="2" t="inlineStr">
        <is>
          <t>Ноутбуки</t>
        </is>
      </c>
      <c r="B3746" s="2" t="inlineStr">
        <is>
          <t>DIGMA PRO</t>
        </is>
      </c>
      <c r="C3746" s="2" t="inlineStr">
        <is>
          <t>DN17P3-8DXW01</t>
        </is>
      </c>
      <c r="D3746" s="2" t="inlineStr">
        <is>
          <t>Ноутбук Digma Pro Fortis M Core i3 1005G1 8Gb SSD512Gb Intel UHD Graphics 17.3" IPS FHD (1920x1080) Windows 11 Pro grey WiFi BT Cam 5500mAh (DN17P3-8DXW01)</t>
        </is>
      </c>
      <c r="E3746" s="2" t="inlineStr">
        <is>
          <t>+++ </t>
        </is>
      </c>
      <c r="F3746" s="2" t="inlineStr">
        <is>
          <t>+++ </t>
        </is>
      </c>
      <c r="H3746" s="2">
        <v>462</v>
      </c>
      <c r="I3746" s="2" t="inlineStr">
        <is>
          <t>$</t>
        </is>
      </c>
      <c r="J3746" s="2">
        <f>HYPERLINK("https://app.astro.lead-studio.pro/product/957d6380-b998-4bc2-8432-e2916820aeb7")</f>
      </c>
    </row>
    <row r="3747" spans="1:10" customHeight="0">
      <c r="A3747" s="2" t="inlineStr">
        <is>
          <t>Ноутбуки</t>
        </is>
      </c>
      <c r="B3747" s="2" t="inlineStr">
        <is>
          <t>DIGMA PRO</t>
        </is>
      </c>
      <c r="C3747" s="2" t="inlineStr">
        <is>
          <t>DN15P3-ADXW02</t>
        </is>
      </c>
      <c r="D3747" s="2" t="inlineStr">
        <is>
          <t>Ноутбук Digma Pro Fortis M Core i3 10110U 16Gb SSD512Gb Intel UHD Graphics 15.6" IPS FHD (1920x1080) Windows 11 Pro grey WiFi BT Cam 4250mAh (DN15P3-ADXW02)</t>
        </is>
      </c>
      <c r="E3747" s="2" t="inlineStr">
        <is>
          <t>+++ </t>
        </is>
      </c>
      <c r="F3747" s="2" t="inlineStr">
        <is>
          <t>+++ </t>
        </is>
      </c>
      <c r="H3747" s="2">
        <v>455</v>
      </c>
      <c r="I3747" s="2" t="inlineStr">
        <is>
          <t>$</t>
        </is>
      </c>
      <c r="J3747" s="2">
        <f>HYPERLINK("https://app.astro.lead-studio.pro/product/4e14eccb-db47-441a-8952-c77c1962debe")</f>
      </c>
    </row>
    <row r="3748" spans="1:10" customHeight="0">
      <c r="A3748" s="2" t="inlineStr">
        <is>
          <t>Ноутбуки</t>
        </is>
      </c>
      <c r="B3748" s="2" t="inlineStr">
        <is>
          <t>DIGMA PRO</t>
        </is>
      </c>
      <c r="C3748" s="2" t="inlineStr">
        <is>
          <t>DN15P3-8CXW05</t>
        </is>
      </c>
      <c r="D3748" s="2" t="inlineStr">
        <is>
          <t>Ноутбук Digma Pro Fortis M Core i3 10110U 8Gb SSD256Gb Intel UHD Graphics 15.6" IPS FHD (1920x1080) Windows 11 Pro grey WiFi BT Cam 4250mAh (DN15P3-8CXW05)</t>
        </is>
      </c>
      <c r="E3748" s="2" t="inlineStr">
        <is>
          <t>+++ </t>
        </is>
      </c>
      <c r="F3748" s="2" t="inlineStr">
        <is>
          <t>+++ </t>
        </is>
      </c>
      <c r="H3748" s="2">
        <v>395</v>
      </c>
      <c r="I3748" s="2" t="inlineStr">
        <is>
          <t>$</t>
        </is>
      </c>
      <c r="J3748" s="2">
        <f>HYPERLINK("https://app.astro.lead-studio.pro/product/dec4a2cd-3785-4485-82b3-b514217423ee")</f>
      </c>
    </row>
    <row r="3749" spans="1:10" customHeight="0">
      <c r="A3749" s="2" t="inlineStr">
        <is>
          <t>Ноутбуки</t>
        </is>
      </c>
      <c r="B3749" s="2" t="inlineStr">
        <is>
          <t>DIGMA PRO</t>
        </is>
      </c>
      <c r="C3749" s="2" t="inlineStr">
        <is>
          <t>DN15P3-8CXW04</t>
        </is>
      </c>
      <c r="D3749" s="2" t="inlineStr">
        <is>
          <t>Ноутбук Digma Pro Fortis M Core i3 1215U 8Gb SSD256Gb Intel UHD Graphics 15.6" IPS FHD (1920x1080) Windows 11 Professional grey WiFi BT Cam 4250mAh (DN15P3-8CXW04)</t>
        </is>
      </c>
      <c r="E3749" s="2" t="inlineStr">
        <is>
          <t>+++ </t>
        </is>
      </c>
      <c r="F3749" s="2" t="inlineStr">
        <is>
          <t>+++ </t>
        </is>
      </c>
      <c r="H3749" s="2">
        <v>454</v>
      </c>
      <c r="I3749" s="2" t="inlineStr">
        <is>
          <t>$</t>
        </is>
      </c>
      <c r="J3749" s="2">
        <f>HYPERLINK("https://app.astro.lead-studio.pro/product/d64d3662-7db4-4e58-85cc-13d5991320da")</f>
      </c>
    </row>
    <row r="3750" spans="1:10" customHeight="0">
      <c r="A3750" s="2" t="inlineStr">
        <is>
          <t>Ноутбуки</t>
        </is>
      </c>
      <c r="B3750" s="2" t="inlineStr">
        <is>
          <t>DIGMA PRO</t>
        </is>
      </c>
      <c r="C3750" s="2" t="inlineStr">
        <is>
          <t>DN15P5-ADXW05</t>
        </is>
      </c>
      <c r="D3750" s="2" t="inlineStr">
        <is>
          <t>Ноутбук Digma Pro Fortis M Core i5 1235U 16Gb SSD512Gb Intel Iris Xe graphics 15.6" IPS FHD (1920x1080) Windows 11 Professional grey WiFi BT Cam 4250mAh (DN15P5-ADXW05)</t>
        </is>
      </c>
      <c r="E3750" s="2" t="inlineStr">
        <is>
          <t>+++ </t>
        </is>
      </c>
      <c r="F3750" s="2" t="inlineStr">
        <is>
          <t>+++ </t>
        </is>
      </c>
      <c r="H3750" s="2">
        <v>574</v>
      </c>
      <c r="I3750" s="2" t="inlineStr">
        <is>
          <t>$</t>
        </is>
      </c>
      <c r="J3750" s="2">
        <f>HYPERLINK("https://app.astro.lead-studio.pro/product/167801bf-6575-4262-98c2-dc8b3350aa42")</f>
      </c>
    </row>
    <row r="3751" spans="1:10" customHeight="0">
      <c r="A3751" s="2" t="inlineStr">
        <is>
          <t>Ноутбуки</t>
        </is>
      </c>
      <c r="B3751" s="2" t="inlineStr">
        <is>
          <t>DIGMA PRO</t>
        </is>
      </c>
      <c r="C3751" s="2" t="inlineStr">
        <is>
          <t>DN15P5-ADXW06</t>
        </is>
      </c>
      <c r="D3751" s="2" t="inlineStr">
        <is>
          <t>Ноутбук Digma Pro Fortis M Core i5 1334U 16Gb SSD512Gb Intel UHD Graphics 15.6" IPS FHD (1920x1080) Windows 11 Professional grey WiFi BT Cam 4250mAh (DN15P5-ADXW06)</t>
        </is>
      </c>
      <c r="E3751" s="2" t="inlineStr">
        <is>
          <t>+++ </t>
        </is>
      </c>
      <c r="F3751" s="2" t="inlineStr">
        <is>
          <t>+++ </t>
        </is>
      </c>
      <c r="H3751" s="2">
        <v>674</v>
      </c>
      <c r="I3751" s="2" t="inlineStr">
        <is>
          <t>$</t>
        </is>
      </c>
      <c r="J3751" s="2">
        <f>HYPERLINK("https://app.astro.lead-studio.pro/product/ddc8a15a-a2dd-40a7-b221-6753d75f0558")</f>
      </c>
    </row>
    <row r="3752" spans="1:10" customHeight="0">
      <c r="A3752" s="2" t="inlineStr">
        <is>
          <t>Ноутбуки</t>
        </is>
      </c>
      <c r="B3752" s="2" t="inlineStr">
        <is>
          <t>DIGMA PRO</t>
        </is>
      </c>
      <c r="C3752" s="2" t="inlineStr">
        <is>
          <t>DN15P7-ADXW04</t>
        </is>
      </c>
      <c r="D3752" s="2" t="inlineStr">
        <is>
          <t>Ноутбук Digma Pro Fortis M Core i7 1255U 16Gb SSD512Gb Intel Iris Xe graphics 15.6" IPS FHD (1920x1080) Windows 11 Professional grey WiFi BT Cam 4250mAh (DN15P7-ADXW04)</t>
        </is>
      </c>
      <c r="E3752" s="2" t="inlineStr">
        <is>
          <t>+++ </t>
        </is>
      </c>
      <c r="F3752" s="2" t="inlineStr">
        <is>
          <t>+++ </t>
        </is>
      </c>
      <c r="H3752" s="2">
        <v>675</v>
      </c>
      <c r="I3752" s="2" t="inlineStr">
        <is>
          <t>$</t>
        </is>
      </c>
      <c r="J3752" s="2">
        <f>HYPERLINK("https://app.astro.lead-studio.pro/product/c7bdd2ad-b6fd-44d1-9fc2-3842aeee2126")</f>
      </c>
    </row>
    <row r="3753" spans="1:10" customHeight="0">
      <c r="A3753" s="2" t="inlineStr">
        <is>
          <t>Ноутбуки</t>
        </is>
      </c>
      <c r="B3753" s="2" t="inlineStr">
        <is>
          <t>DIGMA PRO</t>
        </is>
      </c>
      <c r="C3753" s="2" t="inlineStr">
        <is>
          <t>DN15R5-ADXW07</t>
        </is>
      </c>
      <c r="D3753" s="2" t="inlineStr">
        <is>
          <t>Ноутбук Digma Pro Fortis M Ryzen 5 7430U 16Gb SSD512Gb AMD Radeon 15.6" IPS FHD (1920x1080) Windows 11 Professional grey WiFi BT Cam 4250mAh (DN15R5-ADXW07)</t>
        </is>
      </c>
      <c r="E3753" s="2" t="inlineStr">
        <is>
          <t>+++ </t>
        </is>
      </c>
      <c r="F3753" s="2" t="inlineStr">
        <is>
          <t>+++ </t>
        </is>
      </c>
      <c r="H3753" s="2">
        <v>511</v>
      </c>
      <c r="I3753" s="2" t="inlineStr">
        <is>
          <t>$</t>
        </is>
      </c>
      <c r="J3753" s="2">
        <f>HYPERLINK("https://app.astro.lead-studio.pro/product/43db6963-7481-4ca2-b694-92ea56037b02")</f>
      </c>
    </row>
    <row r="3754" spans="1:10" customHeight="0">
      <c r="A3754" s="2" t="inlineStr">
        <is>
          <t>Ноутбуки</t>
        </is>
      </c>
      <c r="B3754" s="2" t="inlineStr">
        <is>
          <t>DIGMA PRO</t>
        </is>
      </c>
      <c r="C3754" s="2" t="inlineStr">
        <is>
          <t>DN15R5-8CXW04</t>
        </is>
      </c>
      <c r="D3754" s="2" t="inlineStr">
        <is>
          <t>Ноутбук Digma Pro Fortis M Ryzen 5 7430U 8Gb SSD256Gb AMD Radeon 15.6" IPS FHD (1920x1080) Windows 11 Professional grey WiFi BT Cam 4250mAh (DN15R5-8CXW04)</t>
        </is>
      </c>
      <c r="E3754" s="2" t="inlineStr">
        <is>
          <t>+++ </t>
        </is>
      </c>
      <c r="F3754" s="2" t="inlineStr">
        <is>
          <t>+++ </t>
        </is>
      </c>
      <c r="H3754" s="2">
        <v>472</v>
      </c>
      <c r="I3754" s="2" t="inlineStr">
        <is>
          <t>$</t>
        </is>
      </c>
      <c r="J3754" s="2">
        <f>HYPERLINK("https://app.astro.lead-studio.pro/product/d4ad01f6-4705-4365-8074-383fd4b2d7d0")</f>
      </c>
    </row>
    <row r="3755" spans="1:10" customHeight="0">
      <c r="A3755" s="2" t="inlineStr">
        <is>
          <t>Ноутбуки</t>
        </is>
      </c>
      <c r="B3755" s="2" t="inlineStr">
        <is>
          <t>DIGMA PRO</t>
        </is>
      </c>
      <c r="C3755" s="2" t="inlineStr">
        <is>
          <t>DN16P3-8CXW01</t>
        </is>
      </c>
      <c r="D3755" s="2" t="inlineStr">
        <is>
          <t>Ноутбук Digma Pro Pactos Core i3 1215U 8Gb SSD256Gb Intel UHD Graphics 16" IPS WUXGA (1920x1200) Windows 11 Professional dk.grey WiFi BT Cam 5500mAh (DN16P3-8CXW01)</t>
        </is>
      </c>
      <c r="E3755" s="2" t="inlineStr">
        <is>
          <t>+++ </t>
        </is>
      </c>
      <c r="F3755" s="2" t="inlineStr">
        <is>
          <t>+++ </t>
        </is>
      </c>
      <c r="H3755" s="2">
        <v>487</v>
      </c>
      <c r="I3755" s="2" t="inlineStr">
        <is>
          <t>$</t>
        </is>
      </c>
      <c r="J3755" s="2">
        <f>HYPERLINK("https://app.astro.lead-studio.pro/product/6ac6310c-4b3f-4d86-9c5b-08e5c24990bb")</f>
      </c>
    </row>
    <row r="3756" spans="1:10" customHeight="0">
      <c r="A3756" s="2" t="inlineStr">
        <is>
          <t>Ноутбуки</t>
        </is>
      </c>
      <c r="B3756" s="2" t="inlineStr">
        <is>
          <t>DIGMA PRO</t>
        </is>
      </c>
      <c r="C3756" s="2" t="inlineStr">
        <is>
          <t>DN16P5-ADXW01</t>
        </is>
      </c>
      <c r="D3756" s="2" t="inlineStr">
        <is>
          <t>Ноутбук Digma Pro Pactos Core i5 1235U 16Gb SSD512Gb Intel Iris Xe graphics 16" IPS WUXGA (1920x1200) Windows 11 Professional dk.grey WiFi BT Cam 5500mAh (DN16P5-ADXW01)</t>
        </is>
      </c>
      <c r="E3756" s="2" t="inlineStr">
        <is>
          <t>+++ </t>
        </is>
      </c>
      <c r="F3756" s="2" t="inlineStr">
        <is>
          <t>+++ </t>
        </is>
      </c>
      <c r="H3756" s="2">
        <v>627</v>
      </c>
      <c r="I3756" s="2" t="inlineStr">
        <is>
          <t>$</t>
        </is>
      </c>
      <c r="J3756" s="2">
        <f>HYPERLINK("https://app.astro.lead-studio.pro/product/43dc0dbd-a547-4c0a-8115-d6efeefea38d")</f>
      </c>
    </row>
    <row r="3757" spans="1:10" customHeight="0">
      <c r="A3757" s="2" t="inlineStr">
        <is>
          <t>Ноутбуки</t>
        </is>
      </c>
      <c r="B3757" s="2" t="inlineStr">
        <is>
          <t>DIGMA PRO</t>
        </is>
      </c>
      <c r="C3757" s="2" t="inlineStr">
        <is>
          <t>DN16P7-ADXW01</t>
        </is>
      </c>
      <c r="D3757" s="2" t="inlineStr">
        <is>
          <t>Ноутбук Digma Pro Pactos Core i7 1255U 16Gb SSD512Gb Intel Iris Xe graphics 16" IPS WUXGA (1920x1200) Windows 11 Professional dk.grey WiFi BT Cam 5500mAh (DN16P7-ADXW01)</t>
        </is>
      </c>
      <c r="E3757" s="2" t="inlineStr">
        <is>
          <t>+++ </t>
        </is>
      </c>
      <c r="F3757" s="2" t="inlineStr">
        <is>
          <t>+++ </t>
        </is>
      </c>
      <c r="H3757" s="2">
        <v>745</v>
      </c>
      <c r="I3757" s="2" t="inlineStr">
        <is>
          <t>$</t>
        </is>
      </c>
      <c r="J3757" s="2">
        <f>HYPERLINK("https://app.astro.lead-studio.pro/product/25882b4d-a6d5-401c-9175-eb1cb6164dfb")</f>
      </c>
    </row>
    <row r="3758" spans="1:10" customHeight="0">
      <c r="A3758" s="2" t="inlineStr">
        <is>
          <t>Ноутбуки</t>
        </is>
      </c>
      <c r="B3758" s="2" t="inlineStr">
        <is>
          <t>DIGMA PRO</t>
        </is>
      </c>
      <c r="C3758" s="2" t="inlineStr">
        <is>
          <t>DN16R5-ADXW03</t>
        </is>
      </c>
      <c r="D3758" s="2" t="inlineStr">
        <is>
          <t>Ноутбук Digma Pro Pactos Ryzen 5 7530U 16Gb SSD512Gb AMD Radeon 16" IPS WUXGA (1920x1200) Windows 11 Professional dk.grey WiFi BT Cam 5500mAh (DN16R5-ADXW03)</t>
        </is>
      </c>
      <c r="E3758" s="2" t="inlineStr">
        <is>
          <t>+++ </t>
        </is>
      </c>
      <c r="F3758" s="2" t="inlineStr">
        <is>
          <t>+++ </t>
        </is>
      </c>
      <c r="H3758" s="2">
        <v>618</v>
      </c>
      <c r="I3758" s="2" t="inlineStr">
        <is>
          <t>$</t>
        </is>
      </c>
      <c r="J3758" s="2">
        <f>HYPERLINK("https://app.astro.lead-studio.pro/product/5457ca38-4a47-442f-b8bb-8559f5f65ada")</f>
      </c>
    </row>
    <row r="3759" spans="1:10" customHeight="0">
      <c r="A3759" s="2" t="inlineStr">
        <is>
          <t>Ноутбуки</t>
        </is>
      </c>
      <c r="B3759" s="2" t="inlineStr">
        <is>
          <t>DIGMA PRO</t>
        </is>
      </c>
      <c r="C3759" s="2" t="inlineStr">
        <is>
          <t>DN16R7-ADXW03</t>
        </is>
      </c>
      <c r="D3759" s="2" t="inlineStr">
        <is>
          <t>Ноутбук Digma Pro Pactos Ryzen 7 7730U 16Gb SSD512Gb AMD Radeon 16" IPS WUXGA (1920x1200) Windows 11 Professional dk.grey WiFi BT Cam 5500mAh (DN16R7-ADXW03)</t>
        </is>
      </c>
      <c r="E3759" s="2" t="inlineStr">
        <is>
          <t>+++ </t>
        </is>
      </c>
      <c r="F3759" s="2" t="inlineStr">
        <is>
          <t>+++ </t>
        </is>
      </c>
      <c r="H3759" s="2">
        <v>722</v>
      </c>
      <c r="I3759" s="2" t="inlineStr">
        <is>
          <t>$</t>
        </is>
      </c>
      <c r="J3759" s="2">
        <f>HYPERLINK("https://app.astro.lead-studio.pro/product/62a89772-eb33-49f4-a41b-57e50c4b38fe")</f>
      </c>
    </row>
    <row r="3760" spans="1:10" customHeight="0">
      <c r="A3760" s="2" t="inlineStr">
        <is>
          <t>Ноутбуки</t>
        </is>
      </c>
      <c r="B3760" s="2" t="inlineStr">
        <is>
          <t>DIGMA PRO</t>
        </is>
      </c>
      <c r="C3760" s="2" t="inlineStr">
        <is>
          <t>DN15R3-ADXW02</t>
        </is>
      </c>
      <c r="D3760" s="2" t="inlineStr">
        <is>
          <t>Ноутбук Digma Pro Parvus M Ryzen 3 3200U 16Gb SSD512Gb AMD Radeon 15.6" IPS FHD (1920x1080) Windows 11 Professional dk.grey WiFi BT Cam 4500mAh (DN15R3-ADXW02)</t>
        </is>
      </c>
      <c r="E3760" s="2" t="inlineStr">
        <is>
          <t>+++ </t>
        </is>
      </c>
      <c r="F3760" s="2" t="inlineStr">
        <is>
          <t>+++ </t>
        </is>
      </c>
      <c r="H3760" s="2">
        <v>386</v>
      </c>
      <c r="I3760" s="2" t="inlineStr">
        <is>
          <t>$</t>
        </is>
      </c>
      <c r="J3760" s="2">
        <f>HYPERLINK("https://app.astro.lead-studio.pro/product/e55b1555-7b7c-45ff-a8ea-45211cc0e24d")</f>
      </c>
    </row>
    <row r="3761" spans="1:10" customHeight="0">
      <c r="A3761" s="2" t="inlineStr">
        <is>
          <t>Ноутбуки</t>
        </is>
      </c>
      <c r="B3761" s="2" t="inlineStr">
        <is>
          <t>DIGMA PRO</t>
        </is>
      </c>
      <c r="C3761" s="2" t="inlineStr">
        <is>
          <t>DN15R3-8CXW03</t>
        </is>
      </c>
      <c r="D3761" s="2" t="inlineStr">
        <is>
          <t>Ноутбук Digma Pro Parvus M Ryzen 3 3200U 8Gb SSD256Gb AMD Radeon 15.6" IPS FHD (1920x1080) Windows 11 Professional dk.grey WiFi BT Cam 4500mAh (DN15R3-8CXW03)</t>
        </is>
      </c>
      <c r="E3761" s="2" t="inlineStr">
        <is>
          <t>+++ </t>
        </is>
      </c>
      <c r="F3761" s="2" t="inlineStr">
        <is>
          <t>+++ </t>
        </is>
      </c>
      <c r="H3761" s="2">
        <v>329</v>
      </c>
      <c r="I3761" s="2" t="inlineStr">
        <is>
          <t>$</t>
        </is>
      </c>
      <c r="J3761" s="2">
        <f>HYPERLINK("https://app.astro.lead-studio.pro/product/2d3e4f6e-b035-4c03-a627-5f64ec82ae92")</f>
      </c>
    </row>
    <row r="3762" spans="1:10" customHeight="0">
      <c r="A3762" s="2" t="inlineStr">
        <is>
          <t>Ноутбуки</t>
        </is>
      </c>
      <c r="B3762" s="2" t="inlineStr">
        <is>
          <t>DIGMA PRO</t>
        </is>
      </c>
      <c r="C3762" s="2" t="inlineStr">
        <is>
          <t>DN15R5-ADXW05</t>
        </is>
      </c>
      <c r="D3762" s="2" t="inlineStr">
        <is>
          <t>Ноутбук Digma Pro Sprint N Ryzen 5 5500U 16Gb SSD512Gb AMD Radeon 15.6" IPS FHD (1920x1080) Windows 11 Pro dk.grey WiFi BT Cam 4700mAh (DN15R5-ADXW05)</t>
        </is>
      </c>
      <c r="E3762" s="2" t="inlineStr">
        <is>
          <t>+++ </t>
        </is>
      </c>
      <c r="F3762" s="2" t="inlineStr">
        <is>
          <t>+++ </t>
        </is>
      </c>
      <c r="H3762" s="2">
        <v>509</v>
      </c>
      <c r="I3762" s="2" t="inlineStr">
        <is>
          <t>$</t>
        </is>
      </c>
      <c r="J3762" s="2">
        <f>HYPERLINK("https://app.astro.lead-studio.pro/product/cf21ba61-c1ec-4c8e-9640-dac768bc0963")</f>
      </c>
    </row>
    <row r="3763" spans="1:10" customHeight="0">
      <c r="A3763" s="2" t="inlineStr">
        <is>
          <t>Ноутбуки</t>
        </is>
      </c>
      <c r="B3763" s="2" t="inlineStr">
        <is>
          <t>GATEWAY</t>
        </is>
      </c>
      <c r="C3763" s="2" t="inlineStr">
        <is>
          <t>GWNR51416-BL</t>
        </is>
      </c>
      <c r="D3763" s="2" t="inlineStr">
        <is>
          <t>Ноутбук Gateway Ultra Slim 14 Ryzen 5 3500U 8Gb SSD256Gb AMD Radeon Vega 8 14.1" IPS FHD (1920x1080) Windows 11 Home blue WiFi BT Cam (GWNR51416-BL)</t>
        </is>
      </c>
      <c r="E3763" s="2" t="inlineStr">
        <is>
          <t>+++ </t>
        </is>
      </c>
      <c r="F3763" s="2" t="inlineStr">
        <is>
          <t>+++ </t>
        </is>
      </c>
      <c r="H3763" s="2">
        <v>365</v>
      </c>
      <c r="I3763" s="2" t="inlineStr">
        <is>
          <t>$</t>
        </is>
      </c>
      <c r="J3763" s="2">
        <f>HYPERLINK("https://app.astro.lead-studio.pro/product/5a4db957-85ac-4453-8f46-9ebcba0692bc")</f>
      </c>
    </row>
    <row r="3764" spans="1:10" customHeight="0">
      <c r="A3764" s="2" t="inlineStr">
        <is>
          <t>Ноутбуки</t>
        </is>
      </c>
      <c r="B3764" s="2" t="inlineStr">
        <is>
          <t>GATEWAY</t>
        </is>
      </c>
      <c r="C3764" s="2" t="inlineStr">
        <is>
          <t>GWNR51416-GR</t>
        </is>
      </c>
      <c r="D3764" s="2" t="inlineStr">
        <is>
          <t>Ноутбук Gateway Ultra Slim 14 Ryzen 5 3500U 8Gb SSD256Gb AMD Radeon Vega 8 14.1" IPS FHD (1920x1080) Windows 11 Home green WiFi BT Cam (GWNR51416-GR)</t>
        </is>
      </c>
      <c r="E3764" s="2" t="inlineStr">
        <is>
          <t>+++ </t>
        </is>
      </c>
      <c r="F3764" s="2" t="inlineStr">
        <is>
          <t>+++ </t>
        </is>
      </c>
      <c r="H3764" s="2">
        <v>367</v>
      </c>
      <c r="I3764" s="2" t="inlineStr">
        <is>
          <t>$</t>
        </is>
      </c>
      <c r="J3764" s="2">
        <f>HYPERLINK("https://app.astro.lead-studio.pro/product/07b8fcb7-ea5c-4d75-89bb-4fa88ebc8e75")</f>
      </c>
    </row>
    <row r="3765" spans="1:10" customHeight="0">
      <c r="A3765" s="2" t="inlineStr">
        <is>
          <t>Ноутбуки</t>
        </is>
      </c>
      <c r="B3765" s="2" t="inlineStr">
        <is>
          <t>GIGABYTE</t>
        </is>
      </c>
      <c r="C3765" s="2" t="inlineStr">
        <is>
          <t>BKG-13KZ754SH</t>
        </is>
      </c>
      <c r="D3765" s="2" t="inlineStr">
        <is>
          <t>Ноутбук Gigabyte Aorus 15 BKG Core Ultra 7 155H 16Gb SSD1Tb NVIDIA GeForce RTX4060 8Gb 15.6" IPS QHD (2560x1440) Windows 11 Home black WiFi BT Cam (BKG-13KZ754SH)</t>
        </is>
      </c>
      <c r="E3765" s="2" t="inlineStr">
        <is>
          <t>++ </t>
        </is>
      </c>
      <c r="F3765" s="2" t="inlineStr">
        <is>
          <t>++ </t>
        </is>
      </c>
      <c r="H3765" s="2">
        <v>1754</v>
      </c>
      <c r="I3765" s="2" t="inlineStr">
        <is>
          <t>$</t>
        </is>
      </c>
      <c r="J3765" s="2">
        <f>HYPERLINK("https://app.astro.lead-studio.pro/product/edacde5d-d969-4572-814e-b200c76180cc")</f>
      </c>
    </row>
    <row r="3766" spans="1:10" customHeight="0">
      <c r="A3766" s="2" t="inlineStr">
        <is>
          <t>Ноутбуки</t>
        </is>
      </c>
      <c r="B3766" s="2" t="inlineStr">
        <is>
          <t>GIGABYTE</t>
        </is>
      </c>
      <c r="C3766" s="2" t="inlineStr">
        <is>
          <t>ASF-D3KZ754SH</t>
        </is>
      </c>
      <c r="D3766" s="2" t="inlineStr">
        <is>
          <t>Ноутбук Gigabyte Aorus 15X ASF Core i9 13980HX 16Gb SSD1Tb NVIDIA GeForce RTX4070 8Gb 15.6" IPS QHD (2560x1440) Windows 11 Home black WiFi BT Cam (ASF-D3KZ754SH)</t>
        </is>
      </c>
      <c r="E3766" s="2" t="inlineStr">
        <is>
          <t>+ </t>
        </is>
      </c>
      <c r="F3766" s="2" t="inlineStr">
        <is>
          <t>+ </t>
        </is>
      </c>
      <c r="H3766" s="2">
        <v>2079</v>
      </c>
      <c r="I3766" s="2" t="inlineStr">
        <is>
          <t>$</t>
        </is>
      </c>
      <c r="J3766" s="2">
        <f>HYPERLINK("https://app.astro.lead-studio.pro/product/3cf40fdc-6ffc-40ab-bea7-6ebb68a2a2f1")</f>
      </c>
    </row>
    <row r="3767" spans="1:10" customHeight="0">
      <c r="A3767" s="2" t="inlineStr">
        <is>
          <t>Ноутбуки</t>
        </is>
      </c>
      <c r="B3767" s="2" t="inlineStr">
        <is>
          <t>GIGABYTE</t>
        </is>
      </c>
      <c r="C3767" s="2" t="inlineStr">
        <is>
          <t>9KG-43KZC54SH</t>
        </is>
      </c>
      <c r="D3767" s="2" t="inlineStr">
        <is>
          <t>Ноутбук Gigabyte Aorus 16X Core i7 13650HX 16Gb SSD1Tb NVIDIA GeForce RTX4060 8Gb 16" IPS QHD+ (2560x1600) Windows 11 Home grey WiFi BT Cam (9KG-43KZC54SH)</t>
        </is>
      </c>
      <c r="E3767" s="2" t="inlineStr">
        <is>
          <t>+ </t>
        </is>
      </c>
      <c r="F3767" s="2" t="inlineStr">
        <is>
          <t>+ </t>
        </is>
      </c>
      <c r="H3767" s="2">
        <v>1682</v>
      </c>
      <c r="I3767" s="2" t="inlineStr">
        <is>
          <t>$</t>
        </is>
      </c>
      <c r="J3767" s="2">
        <f>HYPERLINK("https://app.astro.lead-studio.pro/product/a59616c6-1f57-4e95-ad24-7ff2191bf259")</f>
      </c>
    </row>
    <row r="3768" spans="1:10" customHeight="0">
      <c r="A3768" s="2" t="inlineStr">
        <is>
          <t>Ноутбуки</t>
        </is>
      </c>
      <c r="B3768" s="2" t="inlineStr">
        <is>
          <t>GIGABYTE</t>
        </is>
      </c>
      <c r="C3768" s="2" t="inlineStr">
        <is>
          <t>9SG-43KZC54SH</t>
        </is>
      </c>
      <c r="D3768" s="2" t="inlineStr">
        <is>
          <t>Ноутбук Gigabyte Aorus 16X Core i7 13650HX 16Gb SSD1Tb NVIDIA GeForce RTX4070 8Gb 16" IPS QHD+ (2560x1600) Windows 11 Home grey WiFi BT Cam (9SG-43KZC54SH)</t>
        </is>
      </c>
      <c r="E3768" s="2" t="inlineStr">
        <is>
          <t>+ </t>
        </is>
      </c>
      <c r="F3768" s="2" t="inlineStr">
        <is>
          <t>+ </t>
        </is>
      </c>
      <c r="H3768" s="2">
        <v>1892</v>
      </c>
      <c r="I3768" s="2" t="inlineStr">
        <is>
          <t>$</t>
        </is>
      </c>
      <c r="J3768" s="2">
        <f>HYPERLINK("https://app.astro.lead-studio.pro/product/da548750-5517-402e-a1d8-2940ce52b56b")</f>
      </c>
    </row>
    <row r="3769" spans="1:10" customHeight="0">
      <c r="A3769" s="2" t="inlineStr">
        <is>
          <t>Ноутбуки</t>
        </is>
      </c>
      <c r="B3769" s="2" t="inlineStr">
        <is>
          <t>GIGABYTE</t>
        </is>
      </c>
      <c r="C3769" s="2" t="inlineStr">
        <is>
          <t>9SG-43KZC64SD</t>
        </is>
      </c>
      <c r="D3769" s="2" t="inlineStr">
        <is>
          <t>Ноутбук Gigabyte Aorus 16X Core i7 13650HX 32Gb SSD1Tb NVIDIA GeForce RTX4070 8Gb 16" IPS QHD+ (2560x1600) FreeDOS grey WiFi BT Cam (9SG-43KZC64SD)</t>
        </is>
      </c>
      <c r="E3769" s="2" t="inlineStr">
        <is>
          <t>+ </t>
        </is>
      </c>
      <c r="F3769" s="2" t="inlineStr">
        <is>
          <t>+ </t>
        </is>
      </c>
      <c r="H3769" s="2">
        <v>1952</v>
      </c>
      <c r="I3769" s="2" t="inlineStr">
        <is>
          <t>$</t>
        </is>
      </c>
      <c r="J3769" s="2">
        <f>HYPERLINK("https://app.astro.lead-studio.pro/product/6dcf0227-3d99-4d39-b22f-d15305b3f18f")</f>
      </c>
    </row>
    <row r="3770" spans="1:10" customHeight="0">
      <c r="A3770" s="2" t="inlineStr">
        <is>
          <t>Ноутбуки</t>
        </is>
      </c>
      <c r="B3770" s="2" t="inlineStr">
        <is>
          <t>GIGABYTE</t>
        </is>
      </c>
      <c r="C3770" s="2" t="inlineStr">
        <is>
          <t>ASG-53KZC54SD</t>
        </is>
      </c>
      <c r="D3770" s="2" t="inlineStr">
        <is>
          <t>Ноутбук Gigabyte Aorus 16X Core i7 14650HX 16Gb SSD1Tb NVIDIA GeForce RTX4070 8Gb 16" IPS QHD+ (2560x1600) FreeDOS grey WiFi BT Cam (ASG-53KZC54SD)</t>
        </is>
      </c>
      <c r="E3770" s="2" t="inlineStr">
        <is>
          <t>++ </t>
        </is>
      </c>
      <c r="F3770" s="2" t="inlineStr">
        <is>
          <t>++ </t>
        </is>
      </c>
      <c r="H3770" s="2">
        <v>1920</v>
      </c>
      <c r="I3770" s="2" t="inlineStr">
        <is>
          <t>$</t>
        </is>
      </c>
      <c r="J3770" s="2">
        <f>HYPERLINK("https://app.astro.lead-studio.pro/product/94e91cba-2b3f-40bd-bc62-5444caaafb68")</f>
      </c>
    </row>
    <row r="3771" spans="1:10" customHeight="0">
      <c r="A3771" s="2" t="inlineStr">
        <is>
          <t>Ноутбуки</t>
        </is>
      </c>
      <c r="B3771" s="2" t="inlineStr">
        <is>
          <t>GIGABYTE</t>
        </is>
      </c>
      <c r="C3771" s="2" t="inlineStr">
        <is>
          <t>ASG-53KZC54SH</t>
        </is>
      </c>
      <c r="D3771" s="2" t="inlineStr">
        <is>
          <t>Ноутбук Gigabyte Aorus 16X Core i7 14650HX 16Gb SSD1Tb NVIDIA GeForce RTX4070 8Gb 16" IPS QHD+ (2560x1600) Windows 11 Home grey WiFi BT Cam (ASG-53KZC54SH)</t>
        </is>
      </c>
      <c r="E3771" s="2" t="inlineStr">
        <is>
          <t>+ </t>
        </is>
      </c>
      <c r="F3771" s="2" t="inlineStr">
        <is>
          <t>+ </t>
        </is>
      </c>
      <c r="H3771" s="2">
        <v>2102</v>
      </c>
      <c r="I3771" s="2" t="inlineStr">
        <is>
          <t>$</t>
        </is>
      </c>
      <c r="J3771" s="2">
        <f>HYPERLINK("https://app.astro.lead-studio.pro/product/9f74f58f-2400-4075-bfb8-3ffbd879d463")</f>
      </c>
    </row>
    <row r="3772" spans="1:10" customHeight="0">
      <c r="A3772" s="2" t="inlineStr">
        <is>
          <t>Ноутбуки</t>
        </is>
      </c>
      <c r="B3772" s="2" t="inlineStr">
        <is>
          <t>GIGABYTE</t>
        </is>
      </c>
      <c r="C3772" s="2" t="inlineStr">
        <is>
          <t>AZG-65KZ665SH</t>
        </is>
      </c>
      <c r="D3772" s="2" t="inlineStr">
        <is>
          <t>Ноутбук Gigabyte Aorus 17X AZG Core i9 14900HX 32Gb SSD2Tb NVIDIA GeForce RTX4090 16Gb 17.3" IPS QHD (2560x1440) Windows 11 Home black WiFi BT Cam (AZG-65KZ665SH)</t>
        </is>
      </c>
      <c r="E3772" s="2" t="inlineStr">
        <is>
          <t>+ </t>
        </is>
      </c>
      <c r="F3772" s="2" t="inlineStr">
        <is>
          <t>+ </t>
        </is>
      </c>
      <c r="H3772" s="2">
        <v>4416</v>
      </c>
      <c r="I3772" s="2" t="inlineStr">
        <is>
          <t>$</t>
        </is>
      </c>
      <c r="J3772" s="2">
        <f>HYPERLINK("https://app.astro.lead-studio.pro/product/37db8dc6-5998-4367-96d8-54f053990079")</f>
      </c>
    </row>
    <row r="3773" spans="1:10" customHeight="0">
      <c r="A3773" s="2" t="inlineStr">
        <is>
          <t>Ноутбуки</t>
        </is>
      </c>
      <c r="B3773" s="2" t="inlineStr">
        <is>
          <t>GIGABYTE</t>
        </is>
      </c>
      <c r="C3773" s="2" t="inlineStr">
        <is>
          <t>KF5-53KZ353SH</t>
        </is>
      </c>
      <c r="D3773" s="2" t="inlineStr">
        <is>
          <t>Ноутбук Gigabyte G5 Core i5 13500H 16Gb SSD512Gb NVIDIA GeForce RTX4060 8Gb 15.6" IPS FHD (1920x1080) Windows 11 Home black WiFi BT Cam (KF5-53KZ353SH)</t>
        </is>
      </c>
      <c r="E3773" s="2" t="inlineStr">
        <is>
          <t>+ </t>
        </is>
      </c>
      <c r="F3773" s="2" t="inlineStr">
        <is>
          <t>+ </t>
        </is>
      </c>
      <c r="H3773" s="2">
        <v>1265</v>
      </c>
      <c r="I3773" s="2" t="inlineStr">
        <is>
          <t>$</t>
        </is>
      </c>
      <c r="J3773" s="2">
        <f>HYPERLINK("https://app.astro.lead-studio.pro/product/0dbfd3b1-2617-4bd6-abc0-e65dc7c69203")</f>
      </c>
    </row>
    <row r="3774" spans="1:10" customHeight="0">
      <c r="A3774" s="2" t="inlineStr">
        <is>
          <t>Ноутбуки</t>
        </is>
      </c>
      <c r="B3774" s="2" t="inlineStr">
        <is>
          <t>GIGABYTE</t>
        </is>
      </c>
      <c r="C3774" s="2" t="inlineStr">
        <is>
          <t>MF5-H2KZ353SH</t>
        </is>
      </c>
      <c r="D3774" s="2" t="inlineStr">
        <is>
          <t>Ноутбук Gigabyte G5 Core i7 13620H 16Gb SSD512Gb NVIDIA GeForce RTX4050 6Gb 15.6" IPS FHD (1920x1080) Windows 11 Home black WiFi BT Cam (MF5-H2KZ353SH)</t>
        </is>
      </c>
      <c r="E3774" s="2" t="inlineStr">
        <is>
          <t>+ </t>
        </is>
      </c>
      <c r="F3774" s="2" t="inlineStr">
        <is>
          <t>+ </t>
        </is>
      </c>
      <c r="H3774" s="2">
        <v>1246</v>
      </c>
      <c r="I3774" s="2" t="inlineStr">
        <is>
          <t>$</t>
        </is>
      </c>
      <c r="J3774" s="2">
        <f>HYPERLINK("https://app.astro.lead-studio.pro/product/35a3067e-8805-4071-bd04-707651632f0c")</f>
      </c>
    </row>
    <row r="3775" spans="1:10" customHeight="0">
      <c r="A3775" s="2" t="inlineStr">
        <is>
          <t>Ноутбуки</t>
        </is>
      </c>
      <c r="B3775" s="2" t="inlineStr">
        <is>
          <t>GIGABYTE</t>
        </is>
      </c>
      <c r="C3775" s="2" t="inlineStr">
        <is>
          <t>KF-H3KZ854KD</t>
        </is>
      </c>
      <c r="D3775" s="2" t="inlineStr">
        <is>
          <t>Ноутбук Gigabyte G6 Core i7 13620H 16Gb SSD1Tb NVIDIA GeForce RTX4060 8Gb 16" IPS FHD+ (1920x1200) FreeDOS black WiFi BT Cam (KF-H3KZ854KD)</t>
        </is>
      </c>
      <c r="E3775" s="2" t="inlineStr">
        <is>
          <t>+ </t>
        </is>
      </c>
      <c r="F3775" s="2" t="inlineStr">
        <is>
          <t>+ </t>
        </is>
      </c>
      <c r="H3775" s="2">
        <v>1297</v>
      </c>
      <c r="I3775" s="2" t="inlineStr">
        <is>
          <t>$</t>
        </is>
      </c>
      <c r="J3775" s="2">
        <f>HYPERLINK("https://app.astro.lead-studio.pro/product/222de516-76ed-4ceb-be80-344a4856d519")</f>
      </c>
    </row>
    <row r="3776" spans="1:10" customHeight="0">
      <c r="A3776" s="2" t="inlineStr">
        <is>
          <t>Ноутбуки</t>
        </is>
      </c>
      <c r="B3776" s="2" t="inlineStr">
        <is>
          <t>GIGABYTE</t>
        </is>
      </c>
      <c r="C3776" s="2" t="inlineStr">
        <is>
          <t>9MG-42KZ854SD</t>
        </is>
      </c>
      <c r="D3776" s="2" t="inlineStr">
        <is>
          <t>Ноутбук Gigabyte G6X Core i7 13650HX 16Gb SSD1Tb NVIDIA GeForce RTX4050 6Gb 16" IPS FHD+ (1920x1200) FreeDOS grey WiFi BT Cam (9MG-42KZ854SD)</t>
        </is>
      </c>
      <c r="E3776" s="2" t="inlineStr">
        <is>
          <t>+ </t>
        </is>
      </c>
      <c r="F3776" s="2" t="inlineStr">
        <is>
          <t>+ </t>
        </is>
      </c>
      <c r="H3776" s="2">
        <v>1068</v>
      </c>
      <c r="I3776" s="2" t="inlineStr">
        <is>
          <t>$</t>
        </is>
      </c>
      <c r="J3776" s="2">
        <f>HYPERLINK("https://app.astro.lead-studio.pro/product/50076bee-8f2d-4561-b9c3-3e080b9026c1")</f>
      </c>
    </row>
    <row r="3777" spans="1:10" customHeight="0">
      <c r="A3777" s="2" t="inlineStr">
        <is>
          <t>Ноутбуки</t>
        </is>
      </c>
      <c r="B3777" s="2" t="inlineStr">
        <is>
          <t>HONOR</t>
        </is>
      </c>
      <c r="C3777" s="2" t="inlineStr">
        <is>
          <t>5301AFVH</t>
        </is>
      </c>
      <c r="D3777" s="2" t="inlineStr">
        <is>
          <t>Ноутбук Honor MagicBook 14 NMH-WDQ9HN Ryzen 5 5500U 8Gb SSD512Gb AMD Radeon 14" IPS FHD (1920x1080) FreeDOS grey WiFi BT Cam (5301AFVH)</t>
        </is>
      </c>
      <c r="E3777" s="2" t="inlineStr">
        <is>
          <t>++ </t>
        </is>
      </c>
      <c r="F3777" s="2" t="inlineStr">
        <is>
          <t>++ </t>
        </is>
      </c>
      <c r="H3777" s="2">
        <v>555</v>
      </c>
      <c r="I3777" s="2" t="inlineStr">
        <is>
          <t>$</t>
        </is>
      </c>
      <c r="J3777" s="2">
        <f>HYPERLINK("https://app.astro.lead-studio.pro/product/1bbc3a14-a6f0-4bb4-9001-f1adc5627d62")</f>
      </c>
    </row>
    <row r="3778" spans="1:10" customHeight="0">
      <c r="A3778" s="2" t="inlineStr">
        <is>
          <t>Ноутбуки</t>
        </is>
      </c>
      <c r="B3778" s="2" t="inlineStr">
        <is>
          <t>HP</t>
        </is>
      </c>
      <c r="C3778" s="2" t="inlineStr">
        <is>
          <t>8L708UA</t>
        </is>
      </c>
      <c r="D3778" s="2" t="inlineStr">
        <is>
          <t>Ноутбук HP 15-dy5073dx Core i7 1255U 16Gb SSD512Gb Intel Iris Xe graphics 15.6" IPS Touch FHD (1920x1080) Windows 11 Home silver WiFi BT Cam (8L708UA)</t>
        </is>
      </c>
      <c r="E3778" s="2" t="inlineStr">
        <is>
          <t>+++ </t>
        </is>
      </c>
      <c r="F3778" s="2" t="inlineStr">
        <is>
          <t>+++ </t>
        </is>
      </c>
      <c r="H3778" s="2">
        <v>934</v>
      </c>
      <c r="I3778" s="2" t="inlineStr">
        <is>
          <t>$</t>
        </is>
      </c>
      <c r="J3778" s="2">
        <f>HYPERLINK("https://app.astro.lead-studio.pro/product/b27138b3-8897-4133-ba7a-8ea2e9c698db")</f>
      </c>
    </row>
    <row r="3779" spans="1:10" customHeight="0">
      <c r="A3779" s="2" t="inlineStr">
        <is>
          <t>Ноутбуки</t>
        </is>
      </c>
      <c r="B3779" s="2" t="inlineStr">
        <is>
          <t>HP</t>
        </is>
      </c>
      <c r="C3779" s="2" t="inlineStr">
        <is>
          <t>7K0R1EA</t>
        </is>
      </c>
      <c r="D3779" s="2" t="inlineStr">
        <is>
          <t>Ноутбук HP 15-fc0018nq Ryzen 5 7520U 16Gb SSD512Gb AMD Radeon 610M 15.6" IPS FHD (1920x1080) Free DOS silver WiFi BT Cam (7K0R1EA)</t>
        </is>
      </c>
      <c r="E3779" s="2" t="inlineStr">
        <is>
          <t>+++ </t>
        </is>
      </c>
      <c r="F3779" s="2" t="inlineStr">
        <is>
          <t>+++ </t>
        </is>
      </c>
      <c r="H3779" s="2">
        <v>574</v>
      </c>
      <c r="I3779" s="2" t="inlineStr">
        <is>
          <t>$</t>
        </is>
      </c>
      <c r="J3779" s="2">
        <f>HYPERLINK("https://app.astro.lead-studio.pro/product/0c3a1281-a609-4339-8272-153c8511f426")</f>
      </c>
    </row>
    <row r="3780" spans="1:10" customHeight="0">
      <c r="A3780" s="2" t="inlineStr">
        <is>
          <t>Ноутбуки</t>
        </is>
      </c>
      <c r="B3780" s="2" t="inlineStr">
        <is>
          <t>HP</t>
        </is>
      </c>
      <c r="C3780" s="2" t="inlineStr">
        <is>
          <t>9Q341EA</t>
        </is>
      </c>
      <c r="D3780" s="2" t="inlineStr">
        <is>
          <t>Ноутбук HP 15-fd0355nia Core i5 1334U 16Gb SSD512Gb Intel Iris Xe graphics 15.6" IPS FHD (1920x1080) Free DOS silver WiFi BT Cam (9Q341EA)</t>
        </is>
      </c>
      <c r="E3780" s="2" t="inlineStr">
        <is>
          <t>++ </t>
        </is>
      </c>
      <c r="F3780" s="2" t="inlineStr">
        <is>
          <t>++ </t>
        </is>
      </c>
      <c r="H3780" s="2">
        <v>705</v>
      </c>
      <c r="I3780" s="2" t="inlineStr">
        <is>
          <t>$</t>
        </is>
      </c>
      <c r="J3780" s="2">
        <f>HYPERLINK("https://app.astro.lead-studio.pro/product/f49e5b84-3d95-424e-b73c-30df50352abd")</f>
      </c>
    </row>
    <row r="3781" spans="1:10" customHeight="0">
      <c r="A3781" s="2" t="inlineStr">
        <is>
          <t>Ноутбуки</t>
        </is>
      </c>
      <c r="B3781" s="2" t="inlineStr">
        <is>
          <t>HP</t>
        </is>
      </c>
      <c r="C3781" s="2" t="inlineStr">
        <is>
          <t>7D1D7EA</t>
        </is>
      </c>
      <c r="D3781" s="2" t="inlineStr">
        <is>
          <t>Ноутбук HP 15s-eq3009ny Ryzen 5 5625U 8Gb SSD512Gb AMD Radeon 15.6" SVA FHD (1920x1080) FreeDOS silver WiFi BT Cam (7D1D7EA)</t>
        </is>
      </c>
      <c r="E3781" s="2" t="inlineStr">
        <is>
          <t>++ </t>
        </is>
      </c>
      <c r="F3781" s="2" t="inlineStr">
        <is>
          <t>++ </t>
        </is>
      </c>
      <c r="H3781" s="2">
        <v>483</v>
      </c>
      <c r="I3781" s="2" t="inlineStr">
        <is>
          <t>$</t>
        </is>
      </c>
      <c r="J3781" s="2">
        <f>HYPERLINK("https://app.astro.lead-studio.pro/product/e52d9c22-76ea-4372-873f-5ef43e702e49")</f>
      </c>
    </row>
    <row r="3782" spans="1:10" customHeight="0">
      <c r="A3782" s="2" t="inlineStr">
        <is>
          <t>Ноутбуки</t>
        </is>
      </c>
      <c r="B3782" s="2" t="inlineStr">
        <is>
          <t>HP</t>
        </is>
      </c>
      <c r="C3782" s="2" t="inlineStr">
        <is>
          <t>7C1T8EA</t>
        </is>
      </c>
      <c r="D3782" s="2" t="inlineStr">
        <is>
          <t>Ноутбук HP 15s-fq5016ny Core i7 1255U 16Gb SSD512Gb Intel Iris Xe graphics 15.6" IPS FHD (1920x1080) FreeDOS silver WiFi BT Cam (7C1T8EA)</t>
        </is>
      </c>
      <c r="E3782" s="2" t="inlineStr">
        <is>
          <t>+ </t>
        </is>
      </c>
      <c r="F3782" s="2" t="inlineStr">
        <is>
          <t>+ </t>
        </is>
      </c>
      <c r="H3782" s="2">
        <v>790</v>
      </c>
      <c r="I3782" s="2" t="inlineStr">
        <is>
          <t>$</t>
        </is>
      </c>
      <c r="J3782" s="2">
        <f>HYPERLINK("https://app.astro.lead-studio.pro/product/3e478997-b8f3-409e-a840-f0ff54377b62")</f>
      </c>
    </row>
    <row r="3783" spans="1:10" customHeight="0">
      <c r="A3783" s="2" t="inlineStr">
        <is>
          <t>Ноутбуки</t>
        </is>
      </c>
      <c r="B3783" s="2" t="inlineStr">
        <is>
          <t>HP</t>
        </is>
      </c>
      <c r="C3783" s="2" t="inlineStr">
        <is>
          <t>737U0EA</t>
        </is>
      </c>
      <c r="D3783" s="2" t="inlineStr">
        <is>
          <t>Ноутбук HP 15s-fq5025ny Core i5 1235U 8Gb SSD512Gb Intel Iris Xe graphics 15.6" IPS FHD (1920x1080) FreeDOS 3.0 black WiFi BT Cam (737U0EA)</t>
        </is>
      </c>
      <c r="E3783" s="2" t="inlineStr">
        <is>
          <t>+ </t>
        </is>
      </c>
      <c r="F3783" s="2" t="inlineStr">
        <is>
          <t>+ </t>
        </is>
      </c>
      <c r="H3783" s="2">
        <v>591</v>
      </c>
      <c r="I3783" s="2" t="inlineStr">
        <is>
          <t>$</t>
        </is>
      </c>
      <c r="J3783" s="2">
        <f>HYPERLINK("https://app.astro.lead-studio.pro/product/a383405e-4838-4246-a1c9-9381af462610")</f>
      </c>
    </row>
    <row r="3784" spans="1:10" customHeight="0">
      <c r="A3784" s="2" t="inlineStr">
        <is>
          <t>Ноутбуки</t>
        </is>
      </c>
      <c r="B3784" s="2" t="inlineStr">
        <is>
          <t>HP</t>
        </is>
      </c>
      <c r="C3784" s="2" t="inlineStr">
        <is>
          <t>737U1EA</t>
        </is>
      </c>
      <c r="D3784" s="2" t="inlineStr">
        <is>
          <t>Ноутбук HP 15s-fq5035ny Core i7 1255U 8Gb SSD512Gb Intel Iris Xe graphics 15.6" IPS FHD (1920x1080) Free DOS 3.0 black WiFi BT Cam (737U1EA)</t>
        </is>
      </c>
      <c r="E3784" s="2" t="inlineStr">
        <is>
          <t>+++ </t>
        </is>
      </c>
      <c r="F3784" s="2" t="inlineStr">
        <is>
          <t>+++ </t>
        </is>
      </c>
      <c r="H3784" s="2">
        <v>754</v>
      </c>
      <c r="I3784" s="2" t="inlineStr">
        <is>
          <t>$</t>
        </is>
      </c>
      <c r="J3784" s="2">
        <f>HYPERLINK("https://app.astro.lead-studio.pro/product/bc177826-1398-4817-b155-6d4f061de914")</f>
      </c>
    </row>
    <row r="3785" spans="1:10" customHeight="0">
      <c r="A3785" s="2" t="inlineStr">
        <is>
          <t>Ноутбуки</t>
        </is>
      </c>
      <c r="B3785" s="2" t="inlineStr">
        <is>
          <t>HP</t>
        </is>
      </c>
      <c r="C3785" s="2" t="inlineStr">
        <is>
          <t>7P523EA</t>
        </is>
      </c>
      <c r="D3785" s="2" t="inlineStr">
        <is>
          <t>Ноутбук HP 17-cn3009ci Core i7 1355U 16Gb SSD1Tb Intel Iris Xe graphics 17.3" IPS FHD (1920x1080) FreeDOS silver WiFi BT Cam (7P523EA)</t>
        </is>
      </c>
      <c r="E3785" s="2" t="inlineStr">
        <is>
          <t>+ </t>
        </is>
      </c>
      <c r="F3785" s="2" t="inlineStr">
        <is>
          <t>+ </t>
        </is>
      </c>
      <c r="H3785" s="2">
        <v>1191</v>
      </c>
      <c r="I3785" s="2" t="inlineStr">
        <is>
          <t>$</t>
        </is>
      </c>
      <c r="J3785" s="2">
        <f>HYPERLINK("https://app.astro.lead-studio.pro/product/be214de4-ce0f-47b9-903e-7af501ca2bfb")</f>
      </c>
    </row>
    <row r="3786" spans="1:10" customHeight="0">
      <c r="A3786" s="2" t="inlineStr">
        <is>
          <t>Ноутбуки</t>
        </is>
      </c>
      <c r="B3786" s="2" t="inlineStr">
        <is>
          <t>HP</t>
        </is>
      </c>
      <c r="C3786" s="2" t="inlineStr">
        <is>
          <t>9Q9J8EA</t>
        </is>
      </c>
      <c r="D3786" s="2" t="inlineStr">
        <is>
          <t>Ноутбук HP 17-cn3158mg Core i5 1334U 16Gb SSD512Gb Intel Iris Xe graphics 17.3" IPS FHD (1920x1080) Windows 11 Home silver WiFi BT Cam (9Q9J8EA)</t>
        </is>
      </c>
      <c r="E3786" s="2" t="inlineStr">
        <is>
          <t>+ </t>
        </is>
      </c>
      <c r="F3786" s="2" t="inlineStr">
        <is>
          <t>+ </t>
        </is>
      </c>
      <c r="H3786" s="2">
        <v>1044</v>
      </c>
      <c r="I3786" s="2" t="inlineStr">
        <is>
          <t>$</t>
        </is>
      </c>
      <c r="J3786" s="2">
        <f>HYPERLINK("https://app.astro.lead-studio.pro/product/39e3c70e-94c2-48a7-9d55-9317249b9080")</f>
      </c>
    </row>
    <row r="3787" spans="1:10" customHeight="0">
      <c r="A3787" s="2" t="inlineStr">
        <is>
          <t>Ноутбуки</t>
        </is>
      </c>
      <c r="B3787" s="2" t="inlineStr">
        <is>
          <t>HP</t>
        </is>
      </c>
      <c r="C3787" s="2" t="inlineStr">
        <is>
          <t>9W1X8EA</t>
        </is>
      </c>
      <c r="D3787" s="2" t="inlineStr">
        <is>
          <t>Ноутбук HP 17-cp2172ng Ryzen 5 7520U 8Gb SSD512Gb AMD Radeon 610M 17.3" IPS FHD (1920x1080) FreeDOS silver WiFi BT Cam (9W1X8EA)</t>
        </is>
      </c>
      <c r="E3787" s="2" t="inlineStr">
        <is>
          <t>+ </t>
        </is>
      </c>
      <c r="F3787" s="2" t="inlineStr">
        <is>
          <t>+ </t>
        </is>
      </c>
      <c r="H3787" s="2">
        <v>681</v>
      </c>
      <c r="I3787" s="2" t="inlineStr">
        <is>
          <t>$</t>
        </is>
      </c>
      <c r="J3787" s="2">
        <f>HYPERLINK("https://app.astro.lead-studio.pro/product/470705f3-6c83-41e5-91e8-3ba948fb5047")</f>
      </c>
    </row>
    <row r="3788" spans="1:10" customHeight="0">
      <c r="A3788" s="2" t="inlineStr">
        <is>
          <t>Ноутбуки</t>
        </is>
      </c>
      <c r="B3788" s="2" t="inlineStr">
        <is>
          <t>HP</t>
        </is>
      </c>
      <c r="C3788" s="2" t="inlineStr">
        <is>
          <t>9Y7A7ET</t>
        </is>
      </c>
      <c r="D3788" s="2" t="inlineStr">
        <is>
          <t>Ноутбук HP 250 G10 Core i5 1334U 16Gb SSD512Gb Intel Iris Xe graphics 15.6" IPS FHD (1920x1080) Windows 11 Home dk.silver WiFi BT Cam (9Y7A7ET)</t>
        </is>
      </c>
      <c r="E3788" s="2" t="inlineStr">
        <is>
          <t>+++ </t>
        </is>
      </c>
      <c r="F3788" s="2" t="inlineStr">
        <is>
          <t>+++ </t>
        </is>
      </c>
      <c r="H3788" s="2">
        <v>740</v>
      </c>
      <c r="I3788" s="2" t="inlineStr">
        <is>
          <t>$</t>
        </is>
      </c>
      <c r="J3788" s="2">
        <f>HYPERLINK("https://app.astro.lead-studio.pro/product/db8feee3-0d96-4ec9-b73b-f7f604249a26")</f>
      </c>
    </row>
    <row r="3789" spans="1:10" customHeight="0">
      <c r="A3789" s="2" t="inlineStr">
        <is>
          <t>Ноутбуки</t>
        </is>
      </c>
      <c r="B3789" s="2" t="inlineStr">
        <is>
          <t>HP</t>
        </is>
      </c>
      <c r="C3789" s="2" t="inlineStr">
        <is>
          <t>AK9X1AT</t>
        </is>
      </c>
      <c r="D3789" s="2" t="inlineStr">
        <is>
          <t>Ноутбук HP 250 G10 Core i5 1335U 16Gb SSD512Gb Intel Iris Xe graphics 15.6" IPS FHD (1920x1080) FreeDOS dk.silver WiFi BT Cam (AK9X1AT)</t>
        </is>
      </c>
      <c r="E3789" s="2" t="inlineStr">
        <is>
          <t>+ </t>
        </is>
      </c>
      <c r="F3789" s="2" t="inlineStr">
        <is>
          <t>+ </t>
        </is>
      </c>
      <c r="H3789" s="2">
        <v>736</v>
      </c>
      <c r="I3789" s="2" t="inlineStr">
        <is>
          <t>$</t>
        </is>
      </c>
      <c r="J3789" s="2">
        <f>HYPERLINK("https://app.astro.lead-studio.pro/product/5849e2c1-7f45-4683-ba22-e9ed62d0a4e2")</f>
      </c>
    </row>
    <row r="3790" spans="1:10" customHeight="0">
      <c r="A3790" s="2" t="inlineStr">
        <is>
          <t>Ноутбуки</t>
        </is>
      </c>
      <c r="B3790" s="2" t="inlineStr">
        <is>
          <t>HP</t>
        </is>
      </c>
      <c r="C3790" s="2" t="inlineStr">
        <is>
          <t>9V1K0AT</t>
        </is>
      </c>
      <c r="D3790" s="2" t="inlineStr">
        <is>
          <t>Ноутбук HP 250 G9 Core i5 1235U 8Gb SSD256Gb Intel Iris Xe graphics 15.6" IPS FHD (1920x1080) Windows 11 Professional dk.silver WiFi BT Cam (9V1K0AT)</t>
        </is>
      </c>
      <c r="E3790" s="2" t="inlineStr">
        <is>
          <t>+++ </t>
        </is>
      </c>
      <c r="F3790" s="2" t="inlineStr">
        <is>
          <t>+++ </t>
        </is>
      </c>
      <c r="H3790" s="2">
        <v>736</v>
      </c>
      <c r="I3790" s="2" t="inlineStr">
        <is>
          <t>$</t>
        </is>
      </c>
      <c r="J3790" s="2">
        <f>HYPERLINK("https://app.astro.lead-studio.pro/product/eea62295-04ce-49be-a6b7-af4018bb1af1")</f>
      </c>
    </row>
    <row r="3791" spans="1:10" customHeight="0">
      <c r="A3791" s="2" t="inlineStr">
        <is>
          <t>Ноутбуки</t>
        </is>
      </c>
      <c r="B3791" s="2" t="inlineStr">
        <is>
          <t>HP</t>
        </is>
      </c>
      <c r="C3791" s="2" t="inlineStr">
        <is>
          <t>9M3J9AT</t>
        </is>
      </c>
      <c r="D3791" s="2" t="inlineStr">
        <is>
          <t>Ноутбук HP 250 G9 Core i5 1235U 8Gb SSD512Gb Intel Iris Xe graphics 15.6" IPS FHD (1920x1080) Windows 11 Professional dk.silver WiFi BT Cam (9M3J9AT)</t>
        </is>
      </c>
      <c r="E3791" s="2" t="inlineStr">
        <is>
          <t>+ </t>
        </is>
      </c>
      <c r="F3791" s="2" t="inlineStr">
        <is>
          <t>+ </t>
        </is>
      </c>
      <c r="H3791" s="2">
        <v>758</v>
      </c>
      <c r="I3791" s="2" t="inlineStr">
        <is>
          <t>$</t>
        </is>
      </c>
      <c r="J3791" s="2">
        <f>HYPERLINK("https://app.astro.lead-studio.pro/product/50450877-a917-4160-b2b6-021464049277")</f>
      </c>
    </row>
    <row r="3792" spans="1:10" customHeight="0">
      <c r="A3792" s="2" t="inlineStr">
        <is>
          <t>Ноутбуки</t>
        </is>
      </c>
      <c r="B3792" s="2" t="inlineStr">
        <is>
          <t>HP</t>
        </is>
      </c>
      <c r="C3792" s="2" t="inlineStr">
        <is>
          <t>A32GFAT</t>
        </is>
      </c>
      <c r="D3792" s="2" t="inlineStr">
        <is>
          <t>Ноутбук HP 255 G9 Ryzen 5 5625U 16Gb SSD512Gb AMD Radeon 15.6" IPS FHD (1920x1080) Windows 11 Home silver WiFi BT Cam (A32GFAT)</t>
        </is>
      </c>
      <c r="E3792" s="2" t="inlineStr">
        <is>
          <t>+ </t>
        </is>
      </c>
      <c r="F3792" s="2" t="inlineStr">
        <is>
          <t>+ </t>
        </is>
      </c>
      <c r="H3792" s="2">
        <v>608</v>
      </c>
      <c r="I3792" s="2" t="inlineStr">
        <is>
          <t>$</t>
        </is>
      </c>
      <c r="J3792" s="2">
        <f>HYPERLINK("https://app.astro.lead-studio.pro/product/4aef0be4-03a5-4637-8d8e-c61f61ad4d21")</f>
      </c>
    </row>
    <row r="3793" spans="1:10" customHeight="0">
      <c r="A3793" s="2" t="inlineStr">
        <is>
          <t>Ноутбуки</t>
        </is>
      </c>
      <c r="B3793" s="2" t="inlineStr">
        <is>
          <t>HP</t>
        </is>
      </c>
      <c r="C3793" s="2" t="inlineStr">
        <is>
          <t>736H9AV</t>
        </is>
      </c>
      <c r="D3793" s="2" t="inlineStr">
        <is>
          <t>Ноутбук HP EliteBook 640 G10 Core i5 1335U 16Gb SSD512Gb Intel Iris Xe graphics 14" IPS FHD (1920x1080) Windows 11 Home 64 silver WiFi BT Cam (736H9AV)</t>
        </is>
      </c>
      <c r="E3793" s="2" t="inlineStr">
        <is>
          <t>+++ </t>
        </is>
      </c>
      <c r="F3793" s="2" t="inlineStr">
        <is>
          <t>+++ </t>
        </is>
      </c>
      <c r="H3793" s="2">
        <v>836</v>
      </c>
      <c r="I3793" s="2" t="inlineStr">
        <is>
          <t>$</t>
        </is>
      </c>
      <c r="J3793" s="2">
        <f>HYPERLINK("https://app.astro.lead-studio.pro/product/e0a926ff-bf12-4847-a8d0-dddf9a3223c8")</f>
      </c>
    </row>
    <row r="3794" spans="1:10" customHeight="0">
      <c r="A3794" s="2" t="inlineStr">
        <is>
          <t>Ноутбуки</t>
        </is>
      </c>
      <c r="B3794" s="2" t="inlineStr">
        <is>
          <t>HP</t>
        </is>
      </c>
      <c r="C3794" s="2" t="inlineStr">
        <is>
          <t>736W6AV</t>
        </is>
      </c>
      <c r="D3794" s="2" t="inlineStr">
        <is>
          <t>Ноутбук HP EliteBook 650 G10 Core i5 1335U 16Gb SSD512Gb 15.6" IPS FHD (1920x1080) Windows 11 Home 64 silver WiFi BT Cam (736W6AV)</t>
        </is>
      </c>
      <c r="E3794" s="2" t="inlineStr">
        <is>
          <t>+++ </t>
        </is>
      </c>
      <c r="F3794" s="2" t="inlineStr">
        <is>
          <t>+++ </t>
        </is>
      </c>
      <c r="H3794" s="2">
        <v>892</v>
      </c>
      <c r="I3794" s="2" t="inlineStr">
        <is>
          <t>$</t>
        </is>
      </c>
      <c r="J3794" s="2">
        <f>HYPERLINK("https://app.astro.lead-studio.pro/product/63e55cf4-5e77-43e4-93e7-b93d1bcb7e38")</f>
      </c>
    </row>
    <row r="3795" spans="1:10" customHeight="0">
      <c r="A3795" s="2" t="inlineStr">
        <is>
          <t>Ноутбуки</t>
        </is>
      </c>
      <c r="B3795" s="2" t="inlineStr">
        <is>
          <t>HP</t>
        </is>
      </c>
      <c r="C3795" s="2" t="inlineStr">
        <is>
          <t>8Z714AV</t>
        </is>
      </c>
      <c r="D3795" s="2" t="inlineStr">
        <is>
          <t>Ноутбук HP EliteBook 665 G11 Ryzen 5 7535U 16Gb SSD512Gb AMD Radeon 16" IPS FHD (1920x1200) Windows 11 Home silver WiFi BT Cam (8Z714AV)</t>
        </is>
      </c>
      <c r="E3795" s="2" t="inlineStr">
        <is>
          <t>+++ </t>
        </is>
      </c>
      <c r="F3795" s="2" t="inlineStr">
        <is>
          <t>+++ </t>
        </is>
      </c>
      <c r="H3795" s="2">
        <v>816</v>
      </c>
      <c r="I3795" s="2" t="inlineStr">
        <is>
          <t>$</t>
        </is>
      </c>
      <c r="J3795" s="2">
        <f>HYPERLINK("https://app.astro.lead-studio.pro/product/c6ff45cc-a625-4799-9430-162a52a443c2")</f>
      </c>
    </row>
    <row r="3796" spans="1:10" customHeight="0">
      <c r="A3796" s="2" t="inlineStr">
        <is>
          <t>Ноутбуки</t>
        </is>
      </c>
      <c r="B3796" s="2" t="inlineStr">
        <is>
          <t>HP</t>
        </is>
      </c>
      <c r="C3796" s="2" t="inlineStr">
        <is>
          <t>8Z717AV</t>
        </is>
      </c>
      <c r="D3796" s="2" t="inlineStr">
        <is>
          <t>Ноутбук HP EliteBook 665 G11 Ryzen 7 7735U 16Gb SSD512Gb AMD Radeon 16" IPS FHD (1920x1200) Windows 11 Home silver WiFi BT Cam (8Z717AV)</t>
        </is>
      </c>
      <c r="E3796" s="2" t="inlineStr">
        <is>
          <t>+++ </t>
        </is>
      </c>
      <c r="F3796" s="2" t="inlineStr">
        <is>
          <t>+++ </t>
        </is>
      </c>
      <c r="H3796" s="2">
        <v>942</v>
      </c>
      <c r="I3796" s="2" t="inlineStr">
        <is>
          <t>$</t>
        </is>
      </c>
      <c r="J3796" s="2">
        <f>HYPERLINK("https://app.astro.lead-studio.pro/product/1d03c91d-3745-47f7-bf95-048cb4268f20")</f>
      </c>
    </row>
    <row r="3797" spans="1:10" customHeight="0">
      <c r="A3797" s="2" t="inlineStr">
        <is>
          <t>Ноутбуки</t>
        </is>
      </c>
      <c r="B3797" s="2" t="inlineStr">
        <is>
          <t>HP</t>
        </is>
      </c>
      <c r="C3797" s="2" t="inlineStr">
        <is>
          <t>927U4ES</t>
        </is>
      </c>
      <c r="D3797" s="2" t="inlineStr">
        <is>
          <t>Ноутбук HP EliteBook 840 G11 Core Ultra 7 155U 16Gb SSD512Gb Intel Graphics 14" UWVA WUXGA (1920x1200) Windows 11 Pro 64 silver WiFi BT Cam (927U4ES)</t>
        </is>
      </c>
      <c r="E3797" s="2" t="inlineStr">
        <is>
          <t>+ </t>
        </is>
      </c>
      <c r="F3797" s="2" t="inlineStr">
        <is>
          <t>+ </t>
        </is>
      </c>
      <c r="H3797" s="2">
        <v>1653</v>
      </c>
      <c r="I3797" s="2" t="inlineStr">
        <is>
          <t>$</t>
        </is>
      </c>
      <c r="J3797" s="2">
        <f>HYPERLINK("https://app.astro.lead-studio.pro/product/4aef490b-5bf9-4fb9-aafd-ac3ec04b0d7a")</f>
      </c>
    </row>
    <row r="3798" spans="1:10" customHeight="0">
      <c r="A3798" s="2" t="inlineStr">
        <is>
          <t>Ноутбуки</t>
        </is>
      </c>
      <c r="B3798" s="2" t="inlineStr">
        <is>
          <t>HP</t>
        </is>
      </c>
      <c r="C3798" s="2" t="inlineStr">
        <is>
          <t>970S9ET</t>
        </is>
      </c>
      <c r="D3798" s="2" t="inlineStr">
        <is>
          <t>Ноутбук HP EliteBook 860 G11 Core Ultra 7 155U 16Gb SSD512Gb Intel Graphics 16" IPS WUXGA (1920x1200) FreeDOS silver WiFi BT Cam (970S9ET)</t>
        </is>
      </c>
      <c r="E3798" s="2" t="inlineStr">
        <is>
          <t>+ </t>
        </is>
      </c>
      <c r="F3798" s="2" t="inlineStr">
        <is>
          <t>+ </t>
        </is>
      </c>
      <c r="H3798" s="2">
        <v>1844</v>
      </c>
      <c r="I3798" s="2" t="inlineStr">
        <is>
          <t>$</t>
        </is>
      </c>
      <c r="J3798" s="2">
        <f>HYPERLINK("https://app.astro.lead-studio.pro/product/3f66fe99-70ec-40c3-8898-3094e7e734eb")</f>
      </c>
    </row>
    <row r="3799" spans="1:10" customHeight="0">
      <c r="A3799" s="2" t="inlineStr">
        <is>
          <t>Ноутбуки</t>
        </is>
      </c>
      <c r="B3799" s="2" t="inlineStr">
        <is>
          <t>HP</t>
        </is>
      </c>
      <c r="C3799" s="2" t="inlineStr">
        <is>
          <t>9M491AT</t>
        </is>
      </c>
      <c r="D3799" s="2" t="inlineStr">
        <is>
          <t>Ноутбук HP EliteBook x360 1040 G10 Core i7 1355U 16Gb SSD512Gb Intel Iris Xe graphics 14" IPS Touch WUXGA (1920x1200) Windows 11 Pro 64 silver WiFi BT Cam (9M491AT)</t>
        </is>
      </c>
      <c r="E3799" s="2" t="inlineStr">
        <is>
          <t>+ </t>
        </is>
      </c>
      <c r="F3799" s="2" t="inlineStr">
        <is>
          <t>+ </t>
        </is>
      </c>
      <c r="H3799" s="2">
        <v>2177</v>
      </c>
      <c r="I3799" s="2" t="inlineStr">
        <is>
          <t>$</t>
        </is>
      </c>
      <c r="J3799" s="2">
        <f>HYPERLINK("https://app.astro.lead-studio.pro/product/3b4e56c5-93fb-4bb9-b8db-643e9d6b5979")</f>
      </c>
    </row>
    <row r="3800" spans="1:10" customHeight="0">
      <c r="A3800" s="2" t="inlineStr">
        <is>
          <t>Ноутбуки</t>
        </is>
      </c>
      <c r="B3800" s="2" t="inlineStr">
        <is>
          <t>HP</t>
        </is>
      </c>
      <c r="C3800" s="2" t="inlineStr">
        <is>
          <t>8F5P2EA</t>
        </is>
      </c>
      <c r="D3800" s="2" t="inlineStr">
        <is>
          <t>Ноутбук HP Omen 16-wd0011ci Core i5 13420H 16Gb SSD512Gb NVIDIA GeForce RTX4050 6Gb 16.1" IPS FHD (1920x1080) Free DOS black WiFi BT Cam (8F5P2EA)</t>
        </is>
      </c>
      <c r="E3800" s="2" t="inlineStr">
        <is>
          <t>+ </t>
        </is>
      </c>
      <c r="F3800" s="2" t="inlineStr">
        <is>
          <t>+ </t>
        </is>
      </c>
      <c r="H3800" s="2">
        <v>1570</v>
      </c>
      <c r="I3800" s="2" t="inlineStr">
        <is>
          <t>$</t>
        </is>
      </c>
      <c r="J3800" s="2">
        <f>HYPERLINK("https://app.astro.lead-studio.pro/product/2317fad8-7a34-44a9-a6bb-cf3624eb3da6")</f>
      </c>
    </row>
    <row r="3801" spans="1:10" customHeight="0">
      <c r="A3801" s="2" t="inlineStr">
        <is>
          <t>Ноутбуки</t>
        </is>
      </c>
      <c r="B3801" s="2" t="inlineStr">
        <is>
          <t>HP</t>
        </is>
      </c>
      <c r="C3801" s="2" t="inlineStr">
        <is>
          <t>A1WE9EA</t>
        </is>
      </c>
      <c r="D3801" s="2" t="inlineStr">
        <is>
          <t>Ноутбук HP Omen 16-wf1004ci Core i7 14700HX 16Gb SSD1Tb NVIDIA GeForce RTX4050 6Gb 16.1" IPS FHD (1920x1080) FreeDOS black WiFi BT Cam (A1WE9EA)</t>
        </is>
      </c>
      <c r="E3801" s="2" t="inlineStr">
        <is>
          <t>+ </t>
        </is>
      </c>
      <c r="F3801" s="2" t="inlineStr">
        <is>
          <t>+ </t>
        </is>
      </c>
      <c r="H3801" s="2">
        <v>2108</v>
      </c>
      <c r="I3801" s="2" t="inlineStr">
        <is>
          <t>$</t>
        </is>
      </c>
      <c r="J3801" s="2">
        <f>HYPERLINK("https://app.astro.lead-studio.pro/product/12c661eb-b518-4656-bbba-9d8878d574c8")</f>
      </c>
    </row>
    <row r="3802" spans="1:10" customHeight="0">
      <c r="A3802" s="2" t="inlineStr">
        <is>
          <t>Ноутбуки</t>
        </is>
      </c>
      <c r="B3802" s="2" t="inlineStr">
        <is>
          <t>HP</t>
        </is>
      </c>
      <c r="C3802" s="2" t="inlineStr">
        <is>
          <t>9B9G1EA</t>
        </is>
      </c>
      <c r="D3802" s="2" t="inlineStr">
        <is>
          <t>Ноутбук HP ProBook 440 G10 Core i5 1334U 16Gb SSD512Gb Intel Iris Xe graphics 14" IPS FHD (1920x1080) FreeDOS silver WiFi BT Cam (9B9G1EA)</t>
        </is>
      </c>
      <c r="E3802" s="2" t="inlineStr">
        <is>
          <t>++ </t>
        </is>
      </c>
      <c r="F3802" s="2" t="inlineStr">
        <is>
          <t>++ </t>
        </is>
      </c>
      <c r="H3802" s="2">
        <v>856</v>
      </c>
      <c r="I3802" s="2" t="inlineStr">
        <is>
          <t>$</t>
        </is>
      </c>
      <c r="J3802" s="2">
        <f>HYPERLINK("https://app.astro.lead-studio.pro/product/adc799c9-584a-4c6e-b7d6-977c3db08b8a")</f>
      </c>
    </row>
    <row r="3803" spans="1:10" customHeight="0">
      <c r="A3803" s="2" t="inlineStr">
        <is>
          <t>Ноутбуки</t>
        </is>
      </c>
      <c r="B3803" s="2" t="inlineStr">
        <is>
          <t>HP</t>
        </is>
      </c>
      <c r="C3803" s="2" t="inlineStr">
        <is>
          <t>968J2ET</t>
        </is>
      </c>
      <c r="D3803" s="2" t="inlineStr">
        <is>
          <t>Ноутбук HP ProBook 440 G10 Core i5 1335U 16Gb SSD512Gb Intel UHD Graphics 14" IPS FHD (1920x1080) FreeDOS silver WiFi BT Cam (968J2ET)</t>
        </is>
      </c>
      <c r="E3803" s="2" t="inlineStr">
        <is>
          <t>+ </t>
        </is>
      </c>
      <c r="F3803" s="2" t="inlineStr">
        <is>
          <t>+ </t>
        </is>
      </c>
      <c r="H3803" s="2">
        <v>900</v>
      </c>
      <c r="I3803" s="2" t="inlineStr">
        <is>
          <t>$</t>
        </is>
      </c>
      <c r="J3803" s="2">
        <f>HYPERLINK("https://app.astro.lead-studio.pro/product/51089b52-f776-49e7-aa37-0ca4ed207f6f")</f>
      </c>
    </row>
    <row r="3804" spans="1:10" customHeight="0">
      <c r="A3804" s="2" t="inlineStr">
        <is>
          <t>Ноутбуки</t>
        </is>
      </c>
      <c r="B3804" s="2" t="inlineStr">
        <is>
          <t>HP</t>
        </is>
      </c>
      <c r="C3804" s="2" t="inlineStr">
        <is>
          <t>816N0EA</t>
        </is>
      </c>
      <c r="D3804" s="2" t="inlineStr">
        <is>
          <t>Ноутбук HP ProBook 440 G10 Core i5 1335U 8Gb SSD512Gb Intel Iris Xe graphics 14" IPS FHD (1920x1080) FreeDOS silver WiFi BT Cam (816N0EA)</t>
        </is>
      </c>
      <c r="E3804" s="2" t="inlineStr">
        <is>
          <t>+++ </t>
        </is>
      </c>
      <c r="F3804" s="2" t="inlineStr">
        <is>
          <t>+++ </t>
        </is>
      </c>
      <c r="H3804" s="2">
        <v>760</v>
      </c>
      <c r="I3804" s="2" t="inlineStr">
        <is>
          <t>$</t>
        </is>
      </c>
      <c r="J3804" s="2">
        <f>HYPERLINK("https://app.astro.lead-studio.pro/product/74a932a2-9f0b-4208-a513-5a0cf98997e2")</f>
      </c>
    </row>
    <row r="3805" spans="1:10" customHeight="0">
      <c r="A3805" s="2" t="inlineStr">
        <is>
          <t>Ноутбуки</t>
        </is>
      </c>
      <c r="B3805" s="2" t="inlineStr">
        <is>
          <t>HP</t>
        </is>
      </c>
      <c r="C3805" s="2" t="inlineStr">
        <is>
          <t>A37SVET</t>
        </is>
      </c>
      <c r="D3805" s="2" t="inlineStr">
        <is>
          <t>Ноутбук HP ProBook 450 G10 Core i5 1334U 16Gb SSD512Gb Intel Iris Xe graphics 15.6" IPS FHD (1920x1080) Windows 11 Professional 64 silver WiFi BT Cam (A37SVET)</t>
        </is>
      </c>
      <c r="E3805" s="2" t="inlineStr">
        <is>
          <t>+++ </t>
        </is>
      </c>
      <c r="F3805" s="2" t="inlineStr">
        <is>
          <t>+++ </t>
        </is>
      </c>
      <c r="H3805" s="2">
        <v>1064</v>
      </c>
      <c r="I3805" s="2" t="inlineStr">
        <is>
          <t>$</t>
        </is>
      </c>
      <c r="J3805" s="2">
        <f>HYPERLINK("https://app.astro.lead-studio.pro/product/7826a1a5-45cf-4d94-b58c-6068f03427a3")</f>
      </c>
    </row>
    <row r="3806" spans="1:10" customHeight="0">
      <c r="A3806" s="2" t="inlineStr">
        <is>
          <t>Ноутбуки</t>
        </is>
      </c>
      <c r="B3806" s="2" t="inlineStr">
        <is>
          <t>HP</t>
        </is>
      </c>
      <c r="C3806" s="2" t="inlineStr">
        <is>
          <t>967U2ET</t>
        </is>
      </c>
      <c r="D3806" s="2" t="inlineStr">
        <is>
          <t>Ноутбук HP ProBook 450 G10 Core i5 1335U 8Gb SSD512Gb Intel Iris Xe graphics 15.6" IPS FHD (1920x1080) FreeDOS silver WiFi BT Cam (967U2ET)</t>
        </is>
      </c>
      <c r="E3806" s="2" t="inlineStr">
        <is>
          <t>+ </t>
        </is>
      </c>
      <c r="F3806" s="2" t="inlineStr">
        <is>
          <t>+ </t>
        </is>
      </c>
      <c r="H3806" s="2">
        <v>838</v>
      </c>
      <c r="I3806" s="2" t="inlineStr">
        <is>
          <t>$</t>
        </is>
      </c>
      <c r="J3806" s="2">
        <f>HYPERLINK("https://app.astro.lead-studio.pro/product/0ed81091-6a4d-47ff-b077-53d424fabf9d")</f>
      </c>
    </row>
    <row r="3807" spans="1:10" customHeight="0">
      <c r="A3807" s="2" t="inlineStr">
        <is>
          <t>Ноутбуки</t>
        </is>
      </c>
      <c r="B3807" s="2" t="inlineStr">
        <is>
          <t>HP</t>
        </is>
      </c>
      <c r="C3807" s="2" t="inlineStr">
        <is>
          <t>859W0EA</t>
        </is>
      </c>
      <c r="D3807" s="2" t="inlineStr">
        <is>
          <t>Ноутбук HP ProBook 450 G10 Core i5 1335U 8Gb SSD512Gb NVIDIA GeForce RTX 2050 4Gb 15.6" IPS FHD (1920x1080) без ОС silver WiFi BT Cam (859W0EA)</t>
        </is>
      </c>
      <c r="E3807" s="2" t="inlineStr">
        <is>
          <t>+ </t>
        </is>
      </c>
      <c r="F3807" s="2" t="inlineStr">
        <is>
          <t>+ </t>
        </is>
      </c>
      <c r="H3807" s="2">
        <v>892</v>
      </c>
      <c r="I3807" s="2" t="inlineStr">
        <is>
          <t>$</t>
        </is>
      </c>
      <c r="J3807" s="2">
        <f>HYPERLINK("https://app.astro.lead-studio.pro/product/0d7af5fa-be2a-4a6b-b383-2a624b60a014")</f>
      </c>
    </row>
    <row r="3808" spans="1:10" customHeight="0">
      <c r="A3808" s="2" t="inlineStr">
        <is>
          <t>Ноутбуки</t>
        </is>
      </c>
      <c r="B3808" s="2" t="inlineStr">
        <is>
          <t>HP</t>
        </is>
      </c>
      <c r="C3808" s="2" t="inlineStr">
        <is>
          <t>822P5UT</t>
        </is>
      </c>
      <c r="D3808" s="2" t="inlineStr">
        <is>
          <t>Ноутбук HP ProBook 450 G10 Core i7 1355U 16Gb SSD512Gb Intel Iris Xe graphics 15.6" IPS FHD (1920x1080) Windows 11 Professional silver WiFi BT Cam (822P5UT)</t>
        </is>
      </c>
      <c r="E3808" s="2" t="inlineStr">
        <is>
          <t>+++ </t>
        </is>
      </c>
      <c r="F3808" s="2" t="inlineStr">
        <is>
          <t>+++ </t>
        </is>
      </c>
      <c r="H3808" s="2">
        <v>1134</v>
      </c>
      <c r="I3808" s="2" t="inlineStr">
        <is>
          <t>$</t>
        </is>
      </c>
      <c r="J3808" s="2">
        <f>HYPERLINK("https://app.astro.lead-studio.pro/product/5d8d7f6b-d76a-4479-8315-2f0322d73e41")</f>
      </c>
    </row>
    <row r="3809" spans="1:10" customHeight="0">
      <c r="A3809" s="2" t="inlineStr">
        <is>
          <t>Ноутбуки</t>
        </is>
      </c>
      <c r="B3809" s="2" t="inlineStr">
        <is>
          <t>HP</t>
        </is>
      </c>
      <c r="C3809" s="2" t="inlineStr">
        <is>
          <t>9M3U5AT</t>
        </is>
      </c>
      <c r="D3809" s="2" t="inlineStr">
        <is>
          <t>Ноутбук HP ProBook 450 G9 Core i5 1235U 8Gb SSD256Gb Intel Iris Xe graphics 15.6" IPS FHD (1920x1080) FreeDOS silver WiFi BT Cam (9M3U5AT)</t>
        </is>
      </c>
      <c r="E3809" s="2" t="inlineStr">
        <is>
          <t>+++ </t>
        </is>
      </c>
      <c r="F3809" s="2" t="inlineStr">
        <is>
          <t>+++ </t>
        </is>
      </c>
      <c r="H3809" s="2">
        <v>764</v>
      </c>
      <c r="I3809" s="2" t="inlineStr">
        <is>
          <t>$</t>
        </is>
      </c>
      <c r="J3809" s="2">
        <f>HYPERLINK("https://app.astro.lead-studio.pro/product/75d52742-c669-4bed-9b92-b03f7abf0b25")</f>
      </c>
    </row>
    <row r="3810" spans="1:10" customHeight="0">
      <c r="A3810" s="2" t="inlineStr">
        <is>
          <t>Ноутбуки</t>
        </is>
      </c>
      <c r="B3810" s="2" t="inlineStr">
        <is>
          <t>HP</t>
        </is>
      </c>
      <c r="C3810" s="2" t="inlineStr">
        <is>
          <t>A1LD5UT</t>
        </is>
      </c>
      <c r="D3810" s="2" t="inlineStr">
        <is>
          <t>Ноутбук HP ProBook 460 G11 Core Ultra 5 125U 16Gb SSD256Gb Intel Graphics 16" IPS WUXGA (1920x1200) Windows 11 Pro 64 silver WiFi BT Cam (A1LD5UT)</t>
        </is>
      </c>
      <c r="E3810" s="2" t="inlineStr">
        <is>
          <t>+ </t>
        </is>
      </c>
      <c r="F3810" s="2" t="inlineStr">
        <is>
          <t>+ </t>
        </is>
      </c>
      <c r="H3810" s="2">
        <v>1016</v>
      </c>
      <c r="I3810" s="2" t="inlineStr">
        <is>
          <t>$</t>
        </is>
      </c>
      <c r="J3810" s="2">
        <f>HYPERLINK("https://app.astro.lead-studio.pro/product/a1142976-5522-48b4-b95d-fb933574ce2c")</f>
      </c>
    </row>
    <row r="3811" spans="1:10" customHeight="0">
      <c r="A3811" s="2" t="inlineStr">
        <is>
          <t>Ноутбуки</t>
        </is>
      </c>
      <c r="B3811" s="2" t="inlineStr">
        <is>
          <t>HP</t>
        </is>
      </c>
      <c r="C3811" s="2" t="inlineStr">
        <is>
          <t>A23BKEA</t>
        </is>
      </c>
      <c r="D3811" s="2" t="inlineStr">
        <is>
          <t>Ноутбук HP ProBook 460 G11 Core Ultra 5 125U 16Gb SSD512Gb Intel Graphics 16" UWVA WUXGA (1920x1200) FreeDOS silver WiFi BT Cam (A23BKEA)</t>
        </is>
      </c>
      <c r="E3811" s="2" t="inlineStr">
        <is>
          <t>+ </t>
        </is>
      </c>
      <c r="F3811" s="2" t="inlineStr">
        <is>
          <t>+ </t>
        </is>
      </c>
      <c r="H3811" s="2">
        <v>991</v>
      </c>
      <c r="I3811" s="2" t="inlineStr">
        <is>
          <t>$</t>
        </is>
      </c>
      <c r="J3811" s="2">
        <f>HYPERLINK("https://app.astro.lead-studio.pro/product/62b334d2-bda7-4880-bdbc-b46a73bb2cab")</f>
      </c>
    </row>
    <row r="3812" spans="1:10" customHeight="0">
      <c r="A3812" s="2" t="inlineStr">
        <is>
          <t>Ноутбуки</t>
        </is>
      </c>
      <c r="B3812" s="2" t="inlineStr">
        <is>
          <t>HP</t>
        </is>
      </c>
      <c r="C3812" s="2" t="inlineStr">
        <is>
          <t>A23BCEA</t>
        </is>
      </c>
      <c r="D3812" s="2" t="inlineStr">
        <is>
          <t>Ноутбук HP ProBook 460 G11 Core Ultra 7 155U 16Gb SSD512Gb Intel Graphics 16" UWVA WUXGA (1920x1200) FreeDOS silver WiFi BT Cam (A23BCEA)</t>
        </is>
      </c>
      <c r="E3812" s="2" t="inlineStr">
        <is>
          <t>+ </t>
        </is>
      </c>
      <c r="F3812" s="2" t="inlineStr">
        <is>
          <t>+ </t>
        </is>
      </c>
      <c r="H3812" s="2">
        <v>1103</v>
      </c>
      <c r="I3812" s="2" t="inlineStr">
        <is>
          <t>$</t>
        </is>
      </c>
      <c r="J3812" s="2">
        <f>HYPERLINK("https://app.astro.lead-studio.pro/product/de1b9b42-db06-449e-89df-ae5f34c41e29")</f>
      </c>
    </row>
    <row r="3813" spans="1:10" customHeight="0">
      <c r="A3813" s="2" t="inlineStr">
        <is>
          <t>Ноутбуки</t>
        </is>
      </c>
      <c r="B3813" s="2" t="inlineStr">
        <is>
          <t>HP</t>
        </is>
      </c>
      <c r="C3813" s="2" t="inlineStr">
        <is>
          <t>A0MY5EA</t>
        </is>
      </c>
      <c r="D3813" s="2" t="inlineStr">
        <is>
          <t>Ноутбук HP Victus 15-fa1033nn Core i5 12500H 16Gb SSD512Gb NVIDIA GeForce RTX4060 8Gb 15.6" IPS FHD (1920x1080) Free DOS white WiFi BT Cam (A0MY5EA)</t>
        </is>
      </c>
      <c r="E3813" s="2" t="inlineStr">
        <is>
          <t>+++ </t>
        </is>
      </c>
      <c r="F3813" s="2" t="inlineStr">
        <is>
          <t>+++ </t>
        </is>
      </c>
      <c r="H3813" s="2">
        <v>1314</v>
      </c>
      <c r="I3813" s="2" t="inlineStr">
        <is>
          <t>$</t>
        </is>
      </c>
      <c r="J3813" s="2">
        <f>HYPERLINK("https://app.astro.lead-studio.pro/product/5e7ccdd7-9060-41c9-9de0-99193b06b91f")</f>
      </c>
    </row>
    <row r="3814" spans="1:10" customHeight="0">
      <c r="A3814" s="2" t="inlineStr">
        <is>
          <t>Ноутбуки</t>
        </is>
      </c>
      <c r="B3814" s="2" t="inlineStr">
        <is>
          <t>HP</t>
        </is>
      </c>
      <c r="C3814" s="2" t="inlineStr">
        <is>
          <t>A1WD6EA</t>
        </is>
      </c>
      <c r="D3814" s="2" t="inlineStr">
        <is>
          <t>Ноутбук HP Victus 15-fb2009ci Ryzen 5 8645HS 16Gb SSD512Gb NVIDIA GeForce RTX 3050 6Gb 15.6" IPS FHD (1920x1080) Free DOS blue WiFi BT Cam (A1WD6EA)</t>
        </is>
      </c>
      <c r="E3814" s="2" t="inlineStr">
        <is>
          <t>+ </t>
        </is>
      </c>
      <c r="F3814" s="2" t="inlineStr">
        <is>
          <t>+ </t>
        </is>
      </c>
      <c r="H3814" s="2">
        <v>1240</v>
      </c>
      <c r="I3814" s="2" t="inlineStr">
        <is>
          <t>$</t>
        </is>
      </c>
      <c r="J3814" s="2">
        <f>HYPERLINK("https://app.astro.lead-studio.pro/product/ae423fe1-94b7-4803-8909-29eec672c7c4")</f>
      </c>
    </row>
    <row r="3815" spans="1:10" customHeight="0">
      <c r="A3815" s="2" t="inlineStr">
        <is>
          <t>Ноутбуки</t>
        </is>
      </c>
      <c r="B3815" s="2" t="inlineStr">
        <is>
          <t>HP</t>
        </is>
      </c>
      <c r="C3815" s="2" t="inlineStr">
        <is>
          <t>A74LWEA</t>
        </is>
      </c>
      <c r="D3815" s="2" t="inlineStr">
        <is>
          <t>Ноутбук HP Victus 16-r1073ci Core i5 14450HX 16Gb SSD512Gb NVIDIA GeForce RTX 3050 6Gb 16.1" IPS FHD (1920x1080) Free DOS silver WiFi BT Cam (A74LWEA)</t>
        </is>
      </c>
      <c r="E3815" s="2" t="inlineStr">
        <is>
          <t>+ </t>
        </is>
      </c>
      <c r="F3815" s="2" t="inlineStr">
        <is>
          <t>+ </t>
        </is>
      </c>
      <c r="H3815" s="2">
        <v>1401</v>
      </c>
      <c r="I3815" s="2" t="inlineStr">
        <is>
          <t>$</t>
        </is>
      </c>
      <c r="J3815" s="2">
        <f>HYPERLINK("https://app.astro.lead-studio.pro/product/e30b8cc0-b509-4c39-a901-e953fda20e06")</f>
      </c>
    </row>
    <row r="3816" spans="1:10" customHeight="0">
      <c r="A3816" s="2" t="inlineStr">
        <is>
          <t>Ноутбуки</t>
        </is>
      </c>
      <c r="B3816" s="2" t="inlineStr">
        <is>
          <t>HP</t>
        </is>
      </c>
      <c r="C3816" s="2" t="inlineStr">
        <is>
          <t>A1SV3UA</t>
        </is>
      </c>
      <c r="D3816" s="2" t="inlineStr">
        <is>
          <t>Ноутбук HP Victus 16-s1023dx Ryzen 7 8845HS 16Gb SSD512Gb NVIDIA GeForce RTX4070 8Gb 16.1" IPS FHD (1920x1080) Windows 11 Home dk.silver WiFi BT Cam (A1SV3UA)</t>
        </is>
      </c>
      <c r="E3816" s="2" t="inlineStr">
        <is>
          <t>+ </t>
        </is>
      </c>
      <c r="F3816" s="2" t="inlineStr">
        <is>
          <t>+ </t>
        </is>
      </c>
      <c r="H3816" s="2">
        <v>1767</v>
      </c>
      <c r="I3816" s="2" t="inlineStr">
        <is>
          <t>$</t>
        </is>
      </c>
      <c r="J3816" s="2">
        <f>HYPERLINK("https://app.astro.lead-studio.pro/product/e51d0ec0-125b-4fe0-8157-07382f9e9be9")</f>
      </c>
    </row>
    <row r="3817" spans="1:10" customHeight="0">
      <c r="A3817" s="2" t="inlineStr">
        <is>
          <t>Ноутбуки</t>
        </is>
      </c>
      <c r="B3817" s="2" t="inlineStr">
        <is>
          <t>HUAWEI</t>
        </is>
      </c>
      <c r="C3817" s="2" t="inlineStr">
        <is>
          <t>53014APJ</t>
        </is>
      </c>
      <c r="D3817" s="2" t="inlineStr">
        <is>
          <t>Ноутбук Huawei MateBook 14 FlemingH Core Ultra 5 125H 16Gb SSD512Gb Intel Arc 14" OLED Touch 2K (2880x1920) Windows 11 Home grey WiFi BT Cam (53014APJ)</t>
        </is>
      </c>
      <c r="E3817" s="2" t="inlineStr">
        <is>
          <t>+ </t>
        </is>
      </c>
      <c r="F3817" s="2" t="inlineStr">
        <is>
          <t>+ </t>
        </is>
      </c>
      <c r="H3817" s="2">
        <v>1647</v>
      </c>
      <c r="I3817" s="2" t="inlineStr">
        <is>
          <t>$</t>
        </is>
      </c>
      <c r="J3817" s="2">
        <f>HYPERLINK("https://app.astro.lead-studio.pro/product/775bce4d-8463-49a1-8044-618190754935")</f>
      </c>
    </row>
    <row r="3818" spans="1:10" customHeight="0">
      <c r="A3818" s="2" t="inlineStr">
        <is>
          <t>Ноутбуки</t>
        </is>
      </c>
      <c r="B3818" s="2" t="inlineStr">
        <is>
          <t>HUAWEI</t>
        </is>
      </c>
      <c r="C3818" s="2" t="inlineStr">
        <is>
          <t>53013XFP</t>
        </is>
      </c>
      <c r="D3818" s="2" t="inlineStr">
        <is>
          <t>Ноутбук Huawei MateBook D 14 Core i5 12450H 16Gb SSD512Gb Intel UHD Graphics 14" IPS FHD (1920x1080) Windows 11 Home grey space WiFi BT Cam (53013XFP)</t>
        </is>
      </c>
      <c r="E3818" s="2" t="inlineStr">
        <is>
          <t>+ </t>
        </is>
      </c>
      <c r="F3818" s="2" t="inlineStr">
        <is>
          <t>+ </t>
        </is>
      </c>
      <c r="H3818" s="2">
        <v>804</v>
      </c>
      <c r="I3818" s="2" t="inlineStr">
        <is>
          <t>$</t>
        </is>
      </c>
      <c r="J3818" s="2">
        <f>HYPERLINK("https://app.astro.lead-studio.pro/product/ba14b4e3-3d79-4edd-9a0d-64cd0d29a387")</f>
      </c>
    </row>
    <row r="3819" spans="1:10" customHeight="0">
      <c r="A3819" s="2" t="inlineStr">
        <is>
          <t>Ноутбуки</t>
        </is>
      </c>
      <c r="B3819" s="2" t="inlineStr">
        <is>
          <t>HUAWEI</t>
        </is>
      </c>
      <c r="C3819" s="2" t="inlineStr">
        <is>
          <t>53014BRW</t>
        </is>
      </c>
      <c r="D3819" s="2" t="inlineStr">
        <is>
          <t>Ноутбук Huawei MateBook D 14 MDG-X Core i5 13420H 16Gb SSD512Gb Intel UHD Graphics 14" IPS FHD (1920x1080) Windows 11 Home grey space WiFi BT Cam (53014BRW)</t>
        </is>
      </c>
      <c r="E3819" s="2" t="inlineStr">
        <is>
          <t>+ </t>
        </is>
      </c>
      <c r="F3819" s="2" t="inlineStr">
        <is>
          <t>+ </t>
        </is>
      </c>
      <c r="H3819" s="2">
        <v>1327</v>
      </c>
      <c r="I3819" s="2" t="inlineStr">
        <is>
          <t>$</t>
        </is>
      </c>
      <c r="J3819" s="2">
        <f>HYPERLINK("https://app.astro.lead-studio.pro/product/803830ca-9e4c-4100-bc20-364685ef6725")</f>
      </c>
    </row>
    <row r="3820" spans="1:10" customHeight="0">
      <c r="A3820" s="2" t="inlineStr">
        <is>
          <t>Ноутбуки</t>
        </is>
      </c>
      <c r="B3820" s="2" t="inlineStr">
        <is>
          <t>HUAWEI</t>
        </is>
      </c>
      <c r="C3820" s="2" t="inlineStr">
        <is>
          <t>53013YLY</t>
        </is>
      </c>
      <c r="D3820" s="2" t="inlineStr">
        <is>
          <t>Ноутбук Huawei MateBook D 16 Core i5 12450H 16Gb SSD1Tb Intel UHD Graphics 16" IPS (1920x1200) без ОС grey space WiFi BT Cam (53013YLY)</t>
        </is>
      </c>
      <c r="E3820" s="2" t="inlineStr">
        <is>
          <t>++ </t>
        </is>
      </c>
      <c r="F3820" s="2" t="inlineStr">
        <is>
          <t>++ </t>
        </is>
      </c>
      <c r="H3820" s="2">
        <v>829</v>
      </c>
      <c r="I3820" s="2" t="inlineStr">
        <is>
          <t>$</t>
        </is>
      </c>
      <c r="J3820" s="2">
        <f>HYPERLINK("https://app.astro.lead-studio.pro/product/4d5e6ba0-051f-4fea-84da-f844cca17e3d")</f>
      </c>
    </row>
    <row r="3821" spans="1:10" customHeight="0">
      <c r="A3821" s="2" t="inlineStr">
        <is>
          <t>Ноутбуки</t>
        </is>
      </c>
      <c r="B3821" s="2" t="inlineStr">
        <is>
          <t>HUAWEI</t>
        </is>
      </c>
      <c r="C3821" s="2" t="inlineStr">
        <is>
          <t>53013WXF</t>
        </is>
      </c>
      <c r="D3821" s="2" t="inlineStr">
        <is>
          <t>Ноутбук Huawei MateBook D 16 MCLF-X Core i5 12450H 16Gb SSD512Gb Intel UHD Graphics 16" IPS (1920x1200) Windows 11 Home grey space WiFi BT Cam (53013WXF)</t>
        </is>
      </c>
      <c r="E3821" s="2" t="inlineStr">
        <is>
          <t>+ </t>
        </is>
      </c>
      <c r="F3821" s="2" t="inlineStr">
        <is>
          <t>+ </t>
        </is>
      </c>
      <c r="H3821" s="2">
        <v>1098</v>
      </c>
      <c r="I3821" s="2" t="inlineStr">
        <is>
          <t>$</t>
        </is>
      </c>
      <c r="J3821" s="2">
        <f>HYPERLINK("https://app.astro.lead-studio.pro/product/0b99b802-4dfd-467e-9703-9e047c8e15a5")</f>
      </c>
    </row>
    <row r="3822" spans="1:10" customHeight="0">
      <c r="A3822" s="2" t="inlineStr">
        <is>
          <t>Ноутбуки</t>
        </is>
      </c>
      <c r="B3822" s="2" t="inlineStr">
        <is>
          <t>HUAWEI</t>
        </is>
      </c>
      <c r="C3822" s="2" t="inlineStr">
        <is>
          <t>53013WXE</t>
        </is>
      </c>
      <c r="D3822" s="2" t="inlineStr">
        <is>
          <t>Ноутбук Huawei MateBook D 16 MCLF-X Core i5 12450H 8Gb SSD512Gb Intel UHD Graphics 16" IPS (1920x1200) Windows 11 Home grey space WiFi BT Cam (53013WXE)</t>
        </is>
      </c>
      <c r="E3822" s="2" t="inlineStr">
        <is>
          <t>++ </t>
        </is>
      </c>
      <c r="F3822" s="2" t="inlineStr">
        <is>
          <t>++ </t>
        </is>
      </c>
      <c r="H3822" s="2">
        <v>989</v>
      </c>
      <c r="I3822" s="2" t="inlineStr">
        <is>
          <t>$</t>
        </is>
      </c>
      <c r="J3822" s="2">
        <f>HYPERLINK("https://app.astro.lead-studio.pro/product/62eddc0e-072c-4a15-a7c0-92b3370da3b5")</f>
      </c>
    </row>
    <row r="3823" spans="1:10" customHeight="0">
      <c r="A3823" s="2" t="inlineStr">
        <is>
          <t>Ноутбуки</t>
        </is>
      </c>
      <c r="B3823" s="2" t="inlineStr">
        <is>
          <t>HUAWEI</t>
        </is>
      </c>
      <c r="C3823" s="2" t="inlineStr">
        <is>
          <t>53013WXA</t>
        </is>
      </c>
      <c r="D3823" s="2" t="inlineStr">
        <is>
          <t>Ноутбук Huawei MateBook D 16 MCLG-X Core i5 13420H 16Gb SSD512Gb Intel UHD Graphics 16" IPS (1920x1200) Windows 11 Home grey space WiFi BT Cam (53013WXA)</t>
        </is>
      </c>
      <c r="E3823" s="2" t="inlineStr">
        <is>
          <t>+ </t>
        </is>
      </c>
      <c r="F3823" s="2" t="inlineStr">
        <is>
          <t>+ </t>
        </is>
      </c>
      <c r="H3823" s="2">
        <v>1068</v>
      </c>
      <c r="I3823" s="2" t="inlineStr">
        <is>
          <t>$</t>
        </is>
      </c>
      <c r="J3823" s="2">
        <f>HYPERLINK("https://app.astro.lead-studio.pro/product/8df3b626-07de-427d-b850-48051b73d4c0")</f>
      </c>
    </row>
    <row r="3824" spans="1:10" customHeight="0">
      <c r="A3824" s="2" t="inlineStr">
        <is>
          <t>Ноутбуки</t>
        </is>
      </c>
      <c r="B3824" s="2" t="inlineStr">
        <is>
          <t>HUAWEI</t>
        </is>
      </c>
      <c r="C3824" s="2" t="inlineStr">
        <is>
          <t>53013WXC</t>
        </is>
      </c>
      <c r="D3824" s="2" t="inlineStr">
        <is>
          <t>Ноутбук Huawei MateBook D 16 MCLG-X Core i9 13900H 16Gb SSD1Tb Intel Iris Xe graphics 16" IPS (1920x1200) Windows 11 Home grey space WiFi BT Cam (53013WXC)</t>
        </is>
      </c>
      <c r="E3824" s="2" t="inlineStr">
        <is>
          <t>+ </t>
        </is>
      </c>
      <c r="F3824" s="2" t="inlineStr">
        <is>
          <t>+ </t>
        </is>
      </c>
      <c r="H3824" s="2">
        <v>1700</v>
      </c>
      <c r="I3824" s="2" t="inlineStr">
        <is>
          <t>$</t>
        </is>
      </c>
      <c r="J3824" s="2">
        <f>HYPERLINK("https://app.astro.lead-studio.pro/product/e17dd49a-3263-43f5-987e-eb0e88d9e5f4")</f>
      </c>
    </row>
    <row r="3825" spans="1:10" customHeight="0">
      <c r="A3825" s="2" t="inlineStr">
        <is>
          <t>Ноутбуки</t>
        </is>
      </c>
      <c r="B3825" s="2" t="inlineStr">
        <is>
          <t>HUAWEI</t>
        </is>
      </c>
      <c r="C3825" s="2" t="inlineStr">
        <is>
          <t>53014ANN</t>
        </is>
      </c>
      <c r="D3825" s="2" t="inlineStr">
        <is>
          <t>Ноутбук Huawei MateBook X Pro VGHH-X Core Ultra 7 155H 16Gb SSD1Tb Intel Arc 14.2" OLED Touch 3K (3120x2080) Windows 11 Home white WiFi BT Cam (53014ANN)</t>
        </is>
      </c>
      <c r="E3825" s="2" t="inlineStr">
        <is>
          <t>+ </t>
        </is>
      </c>
      <c r="F3825" s="2" t="inlineStr">
        <is>
          <t>+ </t>
        </is>
      </c>
      <c r="H3825" s="2">
        <v>2683</v>
      </c>
      <c r="I3825" s="2" t="inlineStr">
        <is>
          <t>$</t>
        </is>
      </c>
      <c r="J3825" s="2">
        <f>HYPERLINK("https://app.astro.lead-studio.pro/product/68671cd5-6af2-4b9b-9db4-1ed3a6ade0bc")</f>
      </c>
    </row>
    <row r="3826" spans="1:10" customHeight="0">
      <c r="A3826" s="2" t="inlineStr">
        <is>
          <t>Ноутбуки</t>
        </is>
      </c>
      <c r="B3826" s="2" t="inlineStr">
        <is>
          <t>HUAWEI</t>
        </is>
      </c>
      <c r="C3826" s="2" t="inlineStr">
        <is>
          <t>53014DEX</t>
        </is>
      </c>
      <c r="D3826" s="2" t="inlineStr">
        <is>
          <t>Ноутбук Huawei MateBook X Pro VGHH-X Core Ultra 7 155H 32Gb SSD2Tb Intel Arc 14.2" OLED Touch 3K (3120x2080) Windows 11 Home pink WiFi BT Cam (53014DEX)</t>
        </is>
      </c>
      <c r="E3826" s="2" t="inlineStr">
        <is>
          <t>+ </t>
        </is>
      </c>
      <c r="F3826" s="2" t="inlineStr">
        <is>
          <t>+ </t>
        </is>
      </c>
      <c r="H3826" s="2">
        <v>2907</v>
      </c>
      <c r="I3826" s="2" t="inlineStr">
        <is>
          <t>$</t>
        </is>
      </c>
      <c r="J3826" s="2">
        <f>HYPERLINK("https://app.astro.lead-studio.pro/product/3f3a96b7-c093-4be7-9801-fce8dba5860a")</f>
      </c>
    </row>
    <row r="3827" spans="1:10" customHeight="0">
      <c r="A3827" s="2" t="inlineStr">
        <is>
          <t>Ноутбуки</t>
        </is>
      </c>
      <c r="B3827" s="2" t="inlineStr">
        <is>
          <t>INFINIX</t>
        </is>
      </c>
      <c r="C3827" s="2" t="inlineStr">
        <is>
          <t>71008301213</t>
        </is>
      </c>
      <c r="D3827" s="2" t="inlineStr">
        <is>
          <t>Ноутбук Infinix Inbook Y2 Plus Core i3 1115G4 8Gb SSD256Gb Intel UHD Graphics 15.6" IPS FHD (1920x1080) Windows 11 Home blue WiFi BT Cam (71008301213)</t>
        </is>
      </c>
      <c r="E3827" s="2" t="inlineStr">
        <is>
          <t>++ </t>
        </is>
      </c>
      <c r="F3827" s="2" t="inlineStr">
        <is>
          <t>++ </t>
        </is>
      </c>
      <c r="H3827" s="2">
        <v>475</v>
      </c>
      <c r="I3827" s="2" t="inlineStr">
        <is>
          <t>$</t>
        </is>
      </c>
      <c r="J3827" s="2">
        <f>HYPERLINK("https://app.astro.lead-studio.pro/product/cd83c6e6-899f-4d18-b118-38d2a202f579")</f>
      </c>
    </row>
    <row r="3828" spans="1:10" customHeight="0">
      <c r="A3828" s="2" t="inlineStr">
        <is>
          <t>Ноутбуки</t>
        </is>
      </c>
      <c r="B3828" s="2" t="inlineStr">
        <is>
          <t>INFINIX</t>
        </is>
      </c>
      <c r="C3828" s="2" t="inlineStr">
        <is>
          <t>71008301120</t>
        </is>
      </c>
      <c r="D3828" s="2" t="inlineStr">
        <is>
          <t>Ноутбук Infinix Inbook Y2 Plus Core i3 1115G4 8Gb SSD256Gb Intel UHD Graphics 15.6" IPS FHD (1920x1080) Windows 11 Home grey WiFi BT Cam (71008301120)</t>
        </is>
      </c>
      <c r="E3828" s="2" t="inlineStr">
        <is>
          <t>++ </t>
        </is>
      </c>
      <c r="F3828" s="2" t="inlineStr">
        <is>
          <t>++ </t>
        </is>
      </c>
      <c r="H3828" s="2">
        <v>477</v>
      </c>
      <c r="I3828" s="2" t="inlineStr">
        <is>
          <t>$</t>
        </is>
      </c>
      <c r="J3828" s="2">
        <f>HYPERLINK("https://app.astro.lead-studio.pro/product/1ac4e956-0703-4217-b0ff-3f25e9f86eb8")</f>
      </c>
    </row>
    <row r="3829" spans="1:10" customHeight="0">
      <c r="A3829" s="2" t="inlineStr">
        <is>
          <t>Ноутбуки</t>
        </is>
      </c>
      <c r="B3829" s="2" t="inlineStr">
        <is>
          <t>INFINIX</t>
        </is>
      </c>
      <c r="C3829" s="2" t="inlineStr">
        <is>
          <t>71008301568</t>
        </is>
      </c>
      <c r="D3829" s="2" t="inlineStr">
        <is>
          <t>Ноутбук Infinix Inbook Y3 Max YL613 Core i3 1215U 8Gb SSD512Gb Intel UHD Graphics 16" IPS FHD (1920x1200) FreeDOS silver WiFi BT Cam (71008301568)</t>
        </is>
      </c>
      <c r="E3829" s="2" t="inlineStr">
        <is>
          <t>++ </t>
        </is>
      </c>
      <c r="F3829" s="2" t="inlineStr">
        <is>
          <t>++ </t>
        </is>
      </c>
      <c r="H3829" s="2">
        <v>590</v>
      </c>
      <c r="I3829" s="2" t="inlineStr">
        <is>
          <t>$</t>
        </is>
      </c>
      <c r="J3829" s="2">
        <f>HYPERLINK("https://app.astro.lead-studio.pro/product/b7f0fef5-8d39-4e2d-b059-5849eb51e295")</f>
      </c>
    </row>
    <row r="3830" spans="1:10" customHeight="0">
      <c r="A3830" s="2" t="inlineStr">
        <is>
          <t>Ноутбуки</t>
        </is>
      </c>
      <c r="B3830" s="2" t="inlineStr">
        <is>
          <t>INFINIX</t>
        </is>
      </c>
      <c r="C3830" s="2" t="inlineStr">
        <is>
          <t>71008301533</t>
        </is>
      </c>
      <c r="D3830" s="2" t="inlineStr">
        <is>
          <t>Ноутбук Infinix Inbook Y3 Max YL613 Core i3 1215U 8Gb SSD512Gb Intel UHD Graphics 16" IPS FHD (1920x1200) Windows 11 Home silver WiFi BT Cam (71008301533)</t>
        </is>
      </c>
      <c r="E3830" s="2" t="inlineStr">
        <is>
          <t>+ </t>
        </is>
      </c>
      <c r="F3830" s="2" t="inlineStr">
        <is>
          <t>+ </t>
        </is>
      </c>
      <c r="H3830" s="2">
        <v>546</v>
      </c>
      <c r="I3830" s="2" t="inlineStr">
        <is>
          <t>$</t>
        </is>
      </c>
      <c r="J3830" s="2">
        <f>HYPERLINK("https://app.astro.lead-studio.pro/product/f9f88ed3-7b70-4408-b75a-0c0b19c36be9")</f>
      </c>
    </row>
    <row r="3831" spans="1:10" customHeight="0">
      <c r="A3831" s="2" t="inlineStr">
        <is>
          <t>Ноутбуки</t>
        </is>
      </c>
      <c r="B3831" s="2" t="inlineStr">
        <is>
          <t>INFINIX</t>
        </is>
      </c>
      <c r="C3831" s="2" t="inlineStr">
        <is>
          <t>71008301570</t>
        </is>
      </c>
      <c r="D3831" s="2" t="inlineStr">
        <is>
          <t>Ноутбук Infinix Inbook Y3 Max YL613 Core i5 1235U 16Gb SSD512Gb Intel Iris Xe graphics 16" IPS FHD (1920x1200) FreeDOS silver WiFi BT Cam (71008301570)</t>
        </is>
      </c>
      <c r="E3831" s="2" t="inlineStr">
        <is>
          <t>++ </t>
        </is>
      </c>
      <c r="F3831" s="2" t="inlineStr">
        <is>
          <t>++ </t>
        </is>
      </c>
      <c r="H3831" s="2">
        <v>646</v>
      </c>
      <c r="I3831" s="2" t="inlineStr">
        <is>
          <t>$</t>
        </is>
      </c>
      <c r="J3831" s="2">
        <f>HYPERLINK("https://app.astro.lead-studio.pro/product/fd4dbfad-07bf-4c20-841c-a708e4860851")</f>
      </c>
    </row>
    <row r="3832" spans="1:10" customHeight="0">
      <c r="A3832" s="2" t="inlineStr">
        <is>
          <t>Ноутбуки</t>
        </is>
      </c>
      <c r="B3832" s="2" t="inlineStr">
        <is>
          <t>INFINIX</t>
        </is>
      </c>
      <c r="C3832" s="2" t="inlineStr">
        <is>
          <t>71008301535</t>
        </is>
      </c>
      <c r="D3832" s="2" t="inlineStr">
        <is>
          <t>Ноутбук Infinix Inbook Y3 Max YL613 Core i5 1235U 16Gb SSD512Gb Intel Iris Xe graphics 16" IPS FHD (1920x1200) Windows 11 Home silver WiFi BT Cam (71008301535)</t>
        </is>
      </c>
      <c r="E3832" s="2" t="inlineStr">
        <is>
          <t>++ </t>
        </is>
      </c>
      <c r="F3832" s="2" t="inlineStr">
        <is>
          <t>++ </t>
        </is>
      </c>
      <c r="H3832" s="2">
        <v>696</v>
      </c>
      <c r="I3832" s="2" t="inlineStr">
        <is>
          <t>$</t>
        </is>
      </c>
      <c r="J3832" s="2">
        <f>HYPERLINK("https://app.astro.lead-studio.pro/product/8afce4cc-5b22-444f-8008-04f0a7c4a04f")</f>
      </c>
    </row>
    <row r="3833" spans="1:10" customHeight="0">
      <c r="A3833" s="2" t="inlineStr">
        <is>
          <t>Ноутбуки</t>
        </is>
      </c>
      <c r="B3833" s="2" t="inlineStr">
        <is>
          <t>INFINIX</t>
        </is>
      </c>
      <c r="C3833" s="2" t="inlineStr">
        <is>
          <t>71008302598</t>
        </is>
      </c>
      <c r="D3833" s="2" t="inlineStr">
        <is>
          <t>Ноутбук Infinix Inbook Y3 Max YL613 Core i7 1255U 16Gb SSD512Gb Intel Iris Xe graphics 16" IPS FHD (1920x1200) FreeDOS silver WiFi BT Cam (71008302598)</t>
        </is>
      </c>
      <c r="E3833" s="2" t="inlineStr">
        <is>
          <t>+ </t>
        </is>
      </c>
      <c r="F3833" s="2" t="inlineStr">
        <is>
          <t>+ </t>
        </is>
      </c>
      <c r="H3833" s="2">
        <v>777</v>
      </c>
      <c r="I3833" s="2" t="inlineStr">
        <is>
          <t>$</t>
        </is>
      </c>
      <c r="J3833" s="2">
        <f>HYPERLINK("https://app.astro.lead-studio.pro/product/2d9e8a3b-1c22-42e7-bee2-228ad78d86ac")</f>
      </c>
    </row>
    <row r="3834" spans="1:10" customHeight="0">
      <c r="A3834" s="2" t="inlineStr">
        <is>
          <t>Ноутбуки</t>
        </is>
      </c>
      <c r="B3834" s="2" t="inlineStr">
        <is>
          <t>INFINIX</t>
        </is>
      </c>
      <c r="C3834" s="2" t="inlineStr">
        <is>
          <t>71008302599</t>
        </is>
      </c>
      <c r="D3834" s="2" t="inlineStr">
        <is>
          <t>Ноутбук Infinix Inbook Y3 PLUS YL512 Core i3 1215U 8Gb SSD512Gb Intel UHD Graphics 15.6" IPS FHD (1920x1080) FreeDOS grey WiFi BT Cam (71008302599)</t>
        </is>
      </c>
      <c r="E3834" s="2" t="inlineStr">
        <is>
          <t>++ </t>
        </is>
      </c>
      <c r="F3834" s="2" t="inlineStr">
        <is>
          <t>++ </t>
        </is>
      </c>
      <c r="H3834" s="2">
        <v>525</v>
      </c>
      <c r="I3834" s="2" t="inlineStr">
        <is>
          <t>$</t>
        </is>
      </c>
      <c r="J3834" s="2">
        <f>HYPERLINK("https://app.astro.lead-studio.pro/product/0911bad3-24d0-440f-ac74-eb8f810a393d")</f>
      </c>
    </row>
    <row r="3835" spans="1:10" customHeight="0">
      <c r="A3835" s="2" t="inlineStr">
        <is>
          <t>Ноутбуки</t>
        </is>
      </c>
      <c r="B3835" s="2" t="inlineStr">
        <is>
          <t>INFINIX</t>
        </is>
      </c>
      <c r="C3835" s="2" t="inlineStr">
        <is>
          <t>71008301718</t>
        </is>
      </c>
      <c r="D3835" s="2" t="inlineStr">
        <is>
          <t>Ноутбук Infinix Inbook Y3 PLUS YL512 Core i3 1215U 8Gb SSD512Gb Intel UHD Graphics 15.6" IPS FHD (1920x1080) Windows 11 Home grey WiFi BT Cam (71008301718)</t>
        </is>
      </c>
      <c r="E3835" s="2" t="inlineStr">
        <is>
          <t>+ </t>
        </is>
      </c>
      <c r="F3835" s="2" t="inlineStr">
        <is>
          <t>+ </t>
        </is>
      </c>
      <c r="H3835" s="2">
        <v>568</v>
      </c>
      <c r="I3835" s="2" t="inlineStr">
        <is>
          <t>$</t>
        </is>
      </c>
      <c r="J3835" s="2">
        <f>HYPERLINK("https://app.astro.lead-studio.pro/product/1705fc04-b02f-45c8-9c1d-6c8216c02774")</f>
      </c>
    </row>
    <row r="3836" spans="1:10" customHeight="0">
      <c r="A3836" s="2" t="inlineStr">
        <is>
          <t>Ноутбуки</t>
        </is>
      </c>
      <c r="B3836" s="2" t="inlineStr">
        <is>
          <t>INFINIX</t>
        </is>
      </c>
      <c r="C3836" s="2" t="inlineStr">
        <is>
          <t>71008302600</t>
        </is>
      </c>
      <c r="D3836" s="2" t="inlineStr">
        <is>
          <t>Ноутбук Infinix Inbook Y3 PLUS YL512 Core i5 1235U 16Gb SSD512Gb Intel Iris Xe graphics 15.6" IPS FHD (1920x1080) FreeDOS grey WiFi BT Cam (71008302600)</t>
        </is>
      </c>
      <c r="E3836" s="2" t="inlineStr">
        <is>
          <t>++ </t>
        </is>
      </c>
      <c r="F3836" s="2" t="inlineStr">
        <is>
          <t>++ </t>
        </is>
      </c>
      <c r="H3836" s="2">
        <v>588</v>
      </c>
      <c r="I3836" s="2" t="inlineStr">
        <is>
          <t>$</t>
        </is>
      </c>
      <c r="J3836" s="2">
        <f>HYPERLINK("https://app.astro.lead-studio.pro/product/6a5faa03-d00e-49fd-be0a-08643c267c49")</f>
      </c>
    </row>
    <row r="3837" spans="1:10" customHeight="0">
      <c r="A3837" s="2" t="inlineStr">
        <is>
          <t>Ноутбуки</t>
        </is>
      </c>
      <c r="B3837" s="2" t="inlineStr">
        <is>
          <t>INFINIX</t>
        </is>
      </c>
      <c r="C3837" s="2" t="inlineStr">
        <is>
          <t>71008301721</t>
        </is>
      </c>
      <c r="D3837" s="2" t="inlineStr">
        <is>
          <t>Ноутбук Infinix Inbook Y3 PLUS YL512 Core i5 1235U 16Gb SSD512Gb Intel Iris Xe graphics 15.6" IPS FHD (1920x1080) Windows 11 Home grey WiFi BT Cam (71008301721)</t>
        </is>
      </c>
      <c r="E3837" s="2" t="inlineStr">
        <is>
          <t>+ </t>
        </is>
      </c>
      <c r="F3837" s="2" t="inlineStr">
        <is>
          <t>+ </t>
        </is>
      </c>
      <c r="H3837" s="2">
        <v>616</v>
      </c>
      <c r="I3837" s="2" t="inlineStr">
        <is>
          <t>$</t>
        </is>
      </c>
      <c r="J3837" s="2">
        <f>HYPERLINK("https://app.astro.lead-studio.pro/product/55bb46f8-355b-4c9f-b63b-95674bf7c790")</f>
      </c>
    </row>
    <row r="3838" spans="1:10" customHeight="0">
      <c r="A3838" s="2" t="inlineStr">
        <is>
          <t>Ноутбуки</t>
        </is>
      </c>
      <c r="B3838" s="2" t="inlineStr">
        <is>
          <t>INFINIX</t>
        </is>
      </c>
      <c r="C3838" s="2" t="inlineStr">
        <is>
          <t>71008302601</t>
        </is>
      </c>
      <c r="D3838" s="2" t="inlineStr">
        <is>
          <t>Ноутбук Infinix Inbook Y3 PLUS YL51A5 Ryzen 7 5700U 16Gb SSD512Gb AMD Radeon 15.6" IPS FHD (1920x1080) FreeDOS grey WiFi BT Cam (71008302601)</t>
        </is>
      </c>
      <c r="E3838" s="2" t="inlineStr">
        <is>
          <t>+++ </t>
        </is>
      </c>
      <c r="F3838" s="2" t="inlineStr">
        <is>
          <t>+++ </t>
        </is>
      </c>
      <c r="H3838" s="2">
        <v>591</v>
      </c>
      <c r="I3838" s="2" t="inlineStr">
        <is>
          <t>$</t>
        </is>
      </c>
      <c r="J3838" s="2">
        <f>HYPERLINK("https://app.astro.lead-studio.pro/product/6e0f94ca-fd52-4b6b-8681-8948aeb81ce7")</f>
      </c>
    </row>
    <row r="3839" spans="1:10" customHeight="0">
      <c r="A3839" s="2" t="inlineStr">
        <is>
          <t>Ноутбуки</t>
        </is>
      </c>
      <c r="B3839" s="2" t="inlineStr">
        <is>
          <t>INFINIX</t>
        </is>
      </c>
      <c r="C3839" s="2" t="inlineStr">
        <is>
          <t>71008302603</t>
        </is>
      </c>
      <c r="D3839" s="2" t="inlineStr">
        <is>
          <t>Ноутбук Infinix Inbook Y3H Max YL613H Core i5 12450H 16Gb SSD1Tb Intel UHD Graphics 16" IPS FHD (1920x1200) FreeDOS silver WiFi BT Cam (71008302603)</t>
        </is>
      </c>
      <c r="E3839" s="2" t="inlineStr">
        <is>
          <t>+ </t>
        </is>
      </c>
      <c r="F3839" s="2" t="inlineStr">
        <is>
          <t>+ </t>
        </is>
      </c>
      <c r="H3839" s="2">
        <v>726</v>
      </c>
      <c r="I3839" s="2" t="inlineStr">
        <is>
          <t>$</t>
        </is>
      </c>
      <c r="J3839" s="2">
        <f>HYPERLINK("https://app.astro.lead-studio.pro/product/e9fa6e42-cdc1-4df2-a5c8-672e246beecd")</f>
      </c>
    </row>
    <row r="3840" spans="1:10" customHeight="0">
      <c r="A3840" s="2" t="inlineStr">
        <is>
          <t>Ноутбуки</t>
        </is>
      </c>
      <c r="B3840" s="2" t="inlineStr">
        <is>
          <t>INFINIX</t>
        </is>
      </c>
      <c r="C3840" s="2" t="inlineStr">
        <is>
          <t>71008302602</t>
        </is>
      </c>
      <c r="D3840" s="2" t="inlineStr">
        <is>
          <t>Ноутбук Infinix Inbook Y3H Max YL613H Core i5 12450H 16Gb SSD1Tb Intel UHD Graphics 16" IPS FHD (1920x1200) Windows 11 Home silver WiFi BT Cam (71008302602)</t>
        </is>
      </c>
      <c r="E3840" s="2" t="inlineStr">
        <is>
          <t>+ </t>
        </is>
      </c>
      <c r="F3840" s="2" t="inlineStr">
        <is>
          <t>+ </t>
        </is>
      </c>
      <c r="H3840" s="2">
        <v>737</v>
      </c>
      <c r="I3840" s="2" t="inlineStr">
        <is>
          <t>$</t>
        </is>
      </c>
      <c r="J3840" s="2">
        <f>HYPERLINK("https://app.astro.lead-studio.pro/product/70ea3670-0c14-4502-993e-1bda89765212")</f>
      </c>
    </row>
    <row r="3841" spans="1:10" customHeight="0">
      <c r="A3841" s="2" t="inlineStr">
        <is>
          <t>Ноутбуки</t>
        </is>
      </c>
      <c r="B3841" s="2" t="inlineStr">
        <is>
          <t>INFINIX</t>
        </is>
      </c>
      <c r="C3841" s="2" t="inlineStr">
        <is>
          <t>71008302494</t>
        </is>
      </c>
      <c r="D3841" s="2" t="inlineStr">
        <is>
          <t>Ноутбук Infinix Inbook Y3H Max YL613H Core i5 12450H 16Gb SSD512Gb Intel UHD Graphics 16" IPS FHD (1920x1200) FreeDOS silver WiFi BT Cam (71008302494)</t>
        </is>
      </c>
      <c r="E3841" s="2" t="inlineStr">
        <is>
          <t>+ </t>
        </is>
      </c>
      <c r="F3841" s="2" t="inlineStr">
        <is>
          <t>+ </t>
        </is>
      </c>
      <c r="H3841" s="2">
        <v>660</v>
      </c>
      <c r="I3841" s="2" t="inlineStr">
        <is>
          <t>$</t>
        </is>
      </c>
      <c r="J3841" s="2">
        <f>HYPERLINK("https://app.astro.lead-studio.pro/product/d6389d6d-a12a-49ab-9d28-4924b0fc8d43")</f>
      </c>
    </row>
    <row r="3842" spans="1:10" customHeight="0">
      <c r="A3842" s="2" t="inlineStr">
        <is>
          <t>Ноутбуки</t>
        </is>
      </c>
      <c r="B3842" s="2" t="inlineStr">
        <is>
          <t>INFINIX</t>
        </is>
      </c>
      <c r="C3842" s="2" t="inlineStr">
        <is>
          <t>71008302604</t>
        </is>
      </c>
      <c r="D3842" s="2" t="inlineStr">
        <is>
          <t>Ноутбук Infinix Inbook Y3H Max YL613H Core i7 12650H 16Gb SSD512Gb Intel UHD Graphics 16" IPS FHD (1920x1200) FreeDOS silver WiFi BT Cam (71008302604)</t>
        </is>
      </c>
      <c r="E3842" s="2" t="inlineStr">
        <is>
          <t>+ </t>
        </is>
      </c>
      <c r="F3842" s="2" t="inlineStr">
        <is>
          <t>+ </t>
        </is>
      </c>
      <c r="H3842" s="2">
        <v>817</v>
      </c>
      <c r="I3842" s="2" t="inlineStr">
        <is>
          <t>$</t>
        </is>
      </c>
      <c r="J3842" s="2">
        <f>HYPERLINK("https://app.astro.lead-studio.pro/product/fb1fe2c3-38cf-4b0c-b6bf-8d0320756253")</f>
      </c>
    </row>
    <row r="3843" spans="1:10" customHeight="0">
      <c r="A3843" s="2" t="inlineStr">
        <is>
          <t>Ноутбуки</t>
        </is>
      </c>
      <c r="B3843" s="2" t="inlineStr">
        <is>
          <t>INFINIX</t>
        </is>
      </c>
      <c r="C3843" s="2" t="inlineStr">
        <is>
          <t>71008302606</t>
        </is>
      </c>
      <c r="D3843" s="2" t="inlineStr">
        <is>
          <t>Ноутбук Infinix Inbook Y3H PLUS YL513H Core i5 12450H 16Gb SSD512Gb Intel UHD Graphics 15.6" IPS FHD (1920x1080) FreeDOS grey WiFi BT Cam (71008302606)</t>
        </is>
      </c>
      <c r="E3843" s="2" t="inlineStr">
        <is>
          <t>+ </t>
        </is>
      </c>
      <c r="F3843" s="2" t="inlineStr">
        <is>
          <t>+ </t>
        </is>
      </c>
      <c r="H3843" s="2">
        <v>625</v>
      </c>
      <c r="I3843" s="2" t="inlineStr">
        <is>
          <t>$</t>
        </is>
      </c>
      <c r="J3843" s="2">
        <f>HYPERLINK("https://app.astro.lead-studio.pro/product/9bbc6163-8b4a-4f59-b4e4-bf4bd426221a")</f>
      </c>
    </row>
    <row r="3844" spans="1:10" customHeight="0">
      <c r="A3844" s="2" t="inlineStr">
        <is>
          <t>Ноутбуки</t>
        </is>
      </c>
      <c r="B3844" s="2" t="inlineStr">
        <is>
          <t>INFINIX</t>
        </is>
      </c>
      <c r="C3844" s="2" t="inlineStr">
        <is>
          <t>71008302294</t>
        </is>
      </c>
      <c r="D3844" s="2" t="inlineStr">
        <is>
          <t>Ноутбук Infinix Inbook Y3H PLUS YL513H Core i5 12450H 16Gb SSD512Gb Intel UHD Graphics 15.6" IPS FHD (1920x1080) Windows 11 Home grey WiFi BT Cam (71008302294)</t>
        </is>
      </c>
      <c r="E3844" s="2" t="inlineStr">
        <is>
          <t>+ </t>
        </is>
      </c>
      <c r="F3844" s="2" t="inlineStr">
        <is>
          <t>+ </t>
        </is>
      </c>
      <c r="H3844" s="2">
        <v>655</v>
      </c>
      <c r="I3844" s="2" t="inlineStr">
        <is>
          <t>$</t>
        </is>
      </c>
      <c r="J3844" s="2">
        <f>HYPERLINK("https://app.astro.lead-studio.pro/product/2f633ca2-f3c7-4c80-a2b0-70b04a398c19")</f>
      </c>
    </row>
    <row r="3845" spans="1:10" customHeight="0">
      <c r="A3845" s="2" t="inlineStr">
        <is>
          <t>Ноутбуки</t>
        </is>
      </c>
      <c r="B3845" s="2" t="inlineStr">
        <is>
          <t>INFINIX</t>
        </is>
      </c>
      <c r="C3845" s="2" t="inlineStr">
        <is>
          <t>71008302607</t>
        </is>
      </c>
      <c r="D3845" s="2" t="inlineStr">
        <is>
          <t>Ноутбук Infinix Inbook Y4 Max YL613 Core i5 1334U 16Gb SSD512Gb Intel Iris Xe graphics 16" IPS FHD (1920x1200) Windows 11 Home silver WiFi BT Cam (71008302607)</t>
        </is>
      </c>
      <c r="E3845" s="2" t="inlineStr">
        <is>
          <t>+ </t>
        </is>
      </c>
      <c r="F3845" s="2" t="inlineStr">
        <is>
          <t>+ </t>
        </is>
      </c>
      <c r="H3845" s="2">
        <v>759</v>
      </c>
      <c r="I3845" s="2" t="inlineStr">
        <is>
          <t>$</t>
        </is>
      </c>
      <c r="J3845" s="2">
        <f>HYPERLINK("https://app.astro.lead-studio.pro/product/4b8adda8-5161-4277-b716-8033414b35e2")</f>
      </c>
    </row>
    <row r="3846" spans="1:10" customHeight="0">
      <c r="A3846" s="2" t="inlineStr">
        <is>
          <t>Ноутбуки</t>
        </is>
      </c>
      <c r="B3846" s="2" t="inlineStr">
        <is>
          <t>INFINIX</t>
        </is>
      </c>
      <c r="C3846" s="2" t="inlineStr">
        <is>
          <t>71008302605</t>
        </is>
      </c>
      <c r="D3846" s="2" t="inlineStr">
        <is>
          <t>Ноутбук Infinix Inbook Y4H Max YL613H Core i5 13420H 16Gb SSD512Gb Intel UHD Graphics 16" IPS FHD (1920x1200) FreeDOS silver WiFi BT Cam (71008302605)</t>
        </is>
      </c>
      <c r="E3846" s="2" t="inlineStr">
        <is>
          <t>+ </t>
        </is>
      </c>
      <c r="F3846" s="2" t="inlineStr">
        <is>
          <t>+ </t>
        </is>
      </c>
      <c r="H3846" s="2">
        <v>759</v>
      </c>
      <c r="I3846" s="2" t="inlineStr">
        <is>
          <t>$</t>
        </is>
      </c>
      <c r="J3846" s="2">
        <f>HYPERLINK("https://app.astro.lead-studio.pro/product/632abc12-c151-43eb-8978-d1a85956a49e")</f>
      </c>
    </row>
    <row r="3847" spans="1:10" customHeight="0">
      <c r="A3847" s="2" t="inlineStr">
        <is>
          <t>Ноутбуки</t>
        </is>
      </c>
      <c r="B3847" s="2" t="inlineStr">
        <is>
          <t>IRU</t>
        </is>
      </c>
      <c r="C3847" s="2" t="inlineStr">
        <is>
          <t>2059101</t>
        </is>
      </c>
      <c r="D3847" s="2" t="inlineStr">
        <is>
          <t>Ноутбук IRU Planio 14ING N-series N100 8Gb SSD512Gb Intel UHD Graphics 14" IPS FHD (1920x1080) Windows 11 Professional 64 black WiFi BT Cam 6000mAh (2059101)</t>
        </is>
      </c>
      <c r="E3847" s="2" t="inlineStr">
        <is>
          <t>+++ </t>
        </is>
      </c>
      <c r="F3847" s="2" t="inlineStr">
        <is>
          <t>+++ </t>
        </is>
      </c>
      <c r="H3847" s="2">
        <v>319</v>
      </c>
      <c r="I3847" s="2" t="inlineStr">
        <is>
          <t>$</t>
        </is>
      </c>
      <c r="J3847" s="2">
        <f>HYPERLINK("https://app.astro.lead-studio.pro/product/2b7dc640-8824-46d5-8db4-0ce29e5ed955")</f>
      </c>
    </row>
    <row r="3848" spans="1:10" customHeight="0">
      <c r="A3848" s="2" t="inlineStr">
        <is>
          <t>Ноутбуки</t>
        </is>
      </c>
      <c r="B3848" s="2" t="inlineStr">
        <is>
          <t>IRU</t>
        </is>
      </c>
      <c r="C3848" s="2" t="inlineStr">
        <is>
          <t>2023733</t>
        </is>
      </c>
      <c r="D3848" s="2" t="inlineStr">
        <is>
          <t>Ноутбук IRU Planio 14INP N-series N100 8Gb SSD256Gb Intel UHD Graphics 14" IPS FHD (1920x1080) Free DOS grey WiFi BT Cam 5000mAh (2023733)</t>
        </is>
      </c>
      <c r="E3848" s="2" t="inlineStr">
        <is>
          <t>+ </t>
        </is>
      </c>
      <c r="F3848" s="2" t="inlineStr">
        <is>
          <t>+ </t>
        </is>
      </c>
      <c r="H3848" s="2">
        <v>323</v>
      </c>
      <c r="I3848" s="2" t="inlineStr">
        <is>
          <t>$</t>
        </is>
      </c>
      <c r="J3848" s="2">
        <f>HYPERLINK("https://app.astro.lead-studio.pro/product/4d57c1e2-47da-478c-a316-50a0f982c99c")</f>
      </c>
    </row>
    <row r="3849" spans="1:10" customHeight="0">
      <c r="A3849" s="2" t="inlineStr">
        <is>
          <t>Ноутбуки</t>
        </is>
      </c>
      <c r="B3849" s="2" t="inlineStr">
        <is>
          <t>IRU</t>
        </is>
      </c>
      <c r="C3849" s="2" t="inlineStr">
        <is>
          <t>2023712</t>
        </is>
      </c>
      <c r="D3849" s="2" t="inlineStr">
        <is>
          <t>Ноутбук IRU Planio 14INP N-series N100 8Gb SSD256Gb Intel UHD Graphics 14" IPS FHD (1920x1080) Windows 11 Professional Multi Language 64 grey WiFi BT Cam 5000mAh (2023712)</t>
        </is>
      </c>
      <c r="E3849" s="2" t="inlineStr">
        <is>
          <t>+ </t>
        </is>
      </c>
      <c r="F3849" s="2" t="inlineStr">
        <is>
          <t>+ </t>
        </is>
      </c>
      <c r="H3849" s="2">
        <v>325</v>
      </c>
      <c r="I3849" s="2" t="inlineStr">
        <is>
          <t>$</t>
        </is>
      </c>
      <c r="J3849" s="2">
        <f>HYPERLINK("https://app.astro.lead-studio.pro/product/724f7af4-a914-4255-92ab-4cb97608d63d")</f>
      </c>
    </row>
    <row r="3850" spans="1:10" customHeight="0">
      <c r="A3850" s="2" t="inlineStr">
        <is>
          <t>Ноутбуки</t>
        </is>
      </c>
      <c r="B3850" s="2" t="inlineStr">
        <is>
          <t>IRU</t>
        </is>
      </c>
      <c r="C3850" s="2" t="inlineStr">
        <is>
          <t>2078487</t>
        </is>
      </c>
      <c r="D3850" s="2" t="inlineStr">
        <is>
          <t>Ноутбук IRU Planio 14INPR N-series N100 16Gb SSD512Gb Intel UHD Graphics 14" IPS FHD (1920x1080) Free DOS grey WiFi BT Cam 5000mAh (2078487)</t>
        </is>
      </c>
      <c r="E3850" s="2" t="inlineStr">
        <is>
          <t>+++ </t>
        </is>
      </c>
      <c r="F3850" s="2" t="inlineStr">
        <is>
          <t>+++ </t>
        </is>
      </c>
      <c r="H3850" s="2">
        <v>378</v>
      </c>
      <c r="I3850" s="2" t="inlineStr">
        <is>
          <t>$</t>
        </is>
      </c>
      <c r="J3850" s="2">
        <f>HYPERLINK("https://app.astro.lead-studio.pro/product/9596c174-583d-461c-895e-dcee7c3c28c0")</f>
      </c>
    </row>
    <row r="3851" spans="1:10" customHeight="0">
      <c r="A3851" s="2" t="inlineStr">
        <is>
          <t>Ноутбуки</t>
        </is>
      </c>
      <c r="B3851" s="2" t="inlineStr">
        <is>
          <t>IRU</t>
        </is>
      </c>
      <c r="C3851" s="2" t="inlineStr">
        <is>
          <t>2078485</t>
        </is>
      </c>
      <c r="D3851" s="2" t="inlineStr">
        <is>
          <t>Ноутбук IRU Planio 14INPR N-series N100 16Gb SSD512Gb Intel UHD Graphics 14" IPS FHD (1920x1080) Windows 11 Professional grey WiFi BT Cam 5000mAh (2078485)</t>
        </is>
      </c>
      <c r="E3851" s="2" t="inlineStr">
        <is>
          <t>+++ </t>
        </is>
      </c>
      <c r="F3851" s="2" t="inlineStr">
        <is>
          <t>+++ </t>
        </is>
      </c>
      <c r="H3851" s="2">
        <v>376</v>
      </c>
      <c r="I3851" s="2" t="inlineStr">
        <is>
          <t>$</t>
        </is>
      </c>
      <c r="J3851" s="2">
        <f>HYPERLINK("https://app.astro.lead-studio.pro/product/160b3380-652d-4a52-ac44-504a9e4099b2")</f>
      </c>
    </row>
    <row r="3852" spans="1:10" customHeight="0">
      <c r="A3852" s="2" t="inlineStr">
        <is>
          <t>Ноутбуки</t>
        </is>
      </c>
      <c r="B3852" s="2" t="inlineStr">
        <is>
          <t>IRU</t>
        </is>
      </c>
      <c r="C3852" s="2" t="inlineStr">
        <is>
          <t>2059105</t>
        </is>
      </c>
      <c r="D3852" s="2" t="inlineStr">
        <is>
          <t>Ноутбук IRU Planio 15ING N-series N100 8Gb SSD512Gb Intel UHD Graphics 15.6" IPS FHD (1920x1080) Windows 11 Professional 64 black WiFi BT Cam 6000mAh (2059105)</t>
        </is>
      </c>
      <c r="E3852" s="2" t="inlineStr">
        <is>
          <t>+++ </t>
        </is>
      </c>
      <c r="F3852" s="2" t="inlineStr">
        <is>
          <t>+++ </t>
        </is>
      </c>
      <c r="H3852" s="2">
        <v>317</v>
      </c>
      <c r="I3852" s="2" t="inlineStr">
        <is>
          <t>$</t>
        </is>
      </c>
      <c r="J3852" s="2">
        <f>HYPERLINK("https://app.astro.lead-studio.pro/product/9004efdb-7330-4606-ae0d-e304621b489a")</f>
      </c>
    </row>
    <row r="3853" spans="1:10" customHeight="0">
      <c r="A3853" s="2" t="inlineStr">
        <is>
          <t>Ноутбуки</t>
        </is>
      </c>
      <c r="B3853" s="2" t="inlineStr">
        <is>
          <t>IRU</t>
        </is>
      </c>
      <c r="C3853" s="2" t="inlineStr">
        <is>
          <t>2023736</t>
        </is>
      </c>
      <c r="D3853" s="2" t="inlineStr">
        <is>
          <t>Ноутбук IRU Planio 15INP N-series N100 8Gb SSD256Gb Intel UHD Graphics 15.6" IPS FHD (1920x1080) Windows 11 Professional grey WiFi BT Cam 5000mAh (2023736)</t>
        </is>
      </c>
      <c r="E3853" s="2" t="inlineStr">
        <is>
          <t>++ </t>
        </is>
      </c>
      <c r="F3853" s="2" t="inlineStr">
        <is>
          <t>++ </t>
        </is>
      </c>
      <c r="H3853" s="2">
        <v>322</v>
      </c>
      <c r="I3853" s="2" t="inlineStr">
        <is>
          <t>$</t>
        </is>
      </c>
      <c r="J3853" s="2">
        <f>HYPERLINK("https://app.astro.lead-studio.pro/product/0deb9ea6-ae79-4ced-a3d3-6b545ad813b1")</f>
      </c>
    </row>
    <row r="3854" spans="1:10" customHeight="0">
      <c r="A3854" s="2" t="inlineStr">
        <is>
          <t>Ноутбуки</t>
        </is>
      </c>
      <c r="B3854" s="2" t="inlineStr">
        <is>
          <t>IRU</t>
        </is>
      </c>
      <c r="C3854" s="2" t="inlineStr">
        <is>
          <t>2081105</t>
        </is>
      </c>
      <c r="D3854" s="2" t="inlineStr">
        <is>
          <t>Ноутбук IRU Planio 15INPR N-series N100 16Gb SSD512Gb Intel UHD Graphics 15.6" IPS FHD (1920x1080) noOS grey WiFi BT Cam 5000mAh (2081105)</t>
        </is>
      </c>
      <c r="E3854" s="2" t="inlineStr">
        <is>
          <t>+ </t>
        </is>
      </c>
      <c r="F3854" s="2" t="inlineStr">
        <is>
          <t>+ </t>
        </is>
      </c>
      <c r="H3854" s="2">
        <v>397</v>
      </c>
      <c r="I3854" s="2" t="inlineStr">
        <is>
          <t>$</t>
        </is>
      </c>
      <c r="J3854" s="2">
        <f>HYPERLINK("https://app.astro.lead-studio.pro/product/59e5f609-b230-4bd2-9886-5cd0da766db3")</f>
      </c>
    </row>
    <row r="3855" spans="1:10" customHeight="0">
      <c r="A3855" s="2" t="inlineStr">
        <is>
          <t>Ноутбуки</t>
        </is>
      </c>
      <c r="B3855" s="2" t="inlineStr">
        <is>
          <t>IRU</t>
        </is>
      </c>
      <c r="C3855" s="2" t="inlineStr">
        <is>
          <t>2058937</t>
        </is>
      </c>
      <c r="D3855" s="2" t="inlineStr">
        <is>
          <t>Ноутбук IRU Strato 15ALI Core i3 1215U 16Gb SSD512Gb Intel Iris Xe graphics 15.6" IPS FHD (1920x1080) Free DOS black 6000mAh (2058937)</t>
        </is>
      </c>
      <c r="E3855" s="2" t="inlineStr">
        <is>
          <t>+ </t>
        </is>
      </c>
      <c r="F3855" s="2" t="inlineStr">
        <is>
          <t>+ </t>
        </is>
      </c>
      <c r="H3855" s="2">
        <v>518</v>
      </c>
      <c r="I3855" s="2" t="inlineStr">
        <is>
          <t>$</t>
        </is>
      </c>
      <c r="J3855" s="2">
        <f>HYPERLINK("https://app.astro.lead-studio.pro/product/bea4355a-b5a6-4a9d-b800-e07cda01e43f")</f>
      </c>
    </row>
    <row r="3856" spans="1:10" customHeight="0">
      <c r="A3856" s="2" t="inlineStr">
        <is>
          <t>Ноутбуки</t>
        </is>
      </c>
      <c r="B3856" s="2" t="inlineStr">
        <is>
          <t>IRU</t>
        </is>
      </c>
      <c r="C3856" s="2" t="inlineStr">
        <is>
          <t>2059109</t>
        </is>
      </c>
      <c r="D3856" s="2" t="inlineStr">
        <is>
          <t>Ноутбук IRU Strato 15ALI Core i3 1215U 16Gb SSD512Gb Intel UHD Graphics 15.6" IPS FHD (1920x1080) Windows 11 Professional Multi Language 64 black WiFi BT Cam 6000mAh (2059109)</t>
        </is>
      </c>
      <c r="E3856" s="2" t="inlineStr">
        <is>
          <t>+ </t>
        </is>
      </c>
      <c r="F3856" s="2" t="inlineStr">
        <is>
          <t>+ </t>
        </is>
      </c>
      <c r="H3856" s="2">
        <v>566</v>
      </c>
      <c r="I3856" s="2" t="inlineStr">
        <is>
          <t>$</t>
        </is>
      </c>
      <c r="J3856" s="2">
        <f>HYPERLINK("https://app.astro.lead-studio.pro/product/7a74b5b8-7c8e-4c5e-b42c-efba95833a28")</f>
      </c>
    </row>
    <row r="3857" spans="1:10" customHeight="0">
      <c r="A3857" s="2" t="inlineStr">
        <is>
          <t>Ноутбуки</t>
        </is>
      </c>
      <c r="B3857" s="2" t="inlineStr">
        <is>
          <t>IRU</t>
        </is>
      </c>
      <c r="C3857" s="2" t="inlineStr">
        <is>
          <t>2058924</t>
        </is>
      </c>
      <c r="D3857" s="2" t="inlineStr">
        <is>
          <t>Ноутбук IRU Strato 15ALI Core i3 1215U 8Gb SSD256Gb Intel Iris Xe graphics 15.6" IPS FHD (1920x1080) Free DOS black 6000mAh (2058924)</t>
        </is>
      </c>
      <c r="E3857" s="2" t="inlineStr">
        <is>
          <t>+++ </t>
        </is>
      </c>
      <c r="F3857" s="2" t="inlineStr">
        <is>
          <t>+++ </t>
        </is>
      </c>
      <c r="H3857" s="2">
        <v>466</v>
      </c>
      <c r="I3857" s="2" t="inlineStr">
        <is>
          <t>$</t>
        </is>
      </c>
      <c r="J3857" s="2">
        <f>HYPERLINK("https://app.astro.lead-studio.pro/product/6c1fd945-ef31-4f9f-a40b-b45a399b59fe")</f>
      </c>
    </row>
    <row r="3858" spans="1:10" customHeight="0">
      <c r="A3858" s="2" t="inlineStr">
        <is>
          <t>Ноутбуки</t>
        </is>
      </c>
      <c r="B3858" s="2" t="inlineStr">
        <is>
          <t>IRU</t>
        </is>
      </c>
      <c r="C3858" s="2" t="inlineStr">
        <is>
          <t>2059106</t>
        </is>
      </c>
      <c r="D3858" s="2" t="inlineStr">
        <is>
          <t>Ноутбук IRU Strato 15ALI Core i3 1215U 8Gb SSD256Gb Intel UHD Graphics 15.6" IPS FHD (1920x1080) Windows 11 Professional Multi Language 64 black WiFi BT Cam 6000mAh (2059106)</t>
        </is>
      </c>
      <c r="E3858" s="2" t="inlineStr">
        <is>
          <t>+ </t>
        </is>
      </c>
      <c r="F3858" s="2" t="inlineStr">
        <is>
          <t>+ </t>
        </is>
      </c>
      <c r="H3858" s="2">
        <v>500</v>
      </c>
      <c r="I3858" s="2" t="inlineStr">
        <is>
          <t>$</t>
        </is>
      </c>
      <c r="J3858" s="2">
        <f>HYPERLINK("https://app.astro.lead-studio.pro/product/58a5c1e7-0c18-4181-929a-c38ac0cc93c3")</f>
      </c>
    </row>
    <row r="3859" spans="1:10" customHeight="0">
      <c r="A3859" s="2" t="inlineStr">
        <is>
          <t>Ноутбуки</t>
        </is>
      </c>
      <c r="B3859" s="2" t="inlineStr">
        <is>
          <t>IRU</t>
        </is>
      </c>
      <c r="C3859" s="2" t="inlineStr">
        <is>
          <t>2058947</t>
        </is>
      </c>
      <c r="D3859" s="2" t="inlineStr">
        <is>
          <t>Ноутбук IRU Strato 15ALI Core i5 1235U 16Gb SSD512Gb Intel Iris Xe graphics 15.6" IPS FHD (1920x1080) Free DOS black 6000mAh (2058947)</t>
        </is>
      </c>
      <c r="E3859" s="2" t="inlineStr">
        <is>
          <t>+ </t>
        </is>
      </c>
      <c r="F3859" s="2" t="inlineStr">
        <is>
          <t>+ </t>
        </is>
      </c>
      <c r="H3859" s="2">
        <v>549</v>
      </c>
      <c r="I3859" s="2" t="inlineStr">
        <is>
          <t>$</t>
        </is>
      </c>
      <c r="J3859" s="2">
        <f>HYPERLINK("https://app.astro.lead-studio.pro/product/708f5719-0f88-4c65-a132-9c791c902d43")</f>
      </c>
    </row>
    <row r="3860" spans="1:10" customHeight="0">
      <c r="A3860" s="2" t="inlineStr">
        <is>
          <t>Ноутбуки</t>
        </is>
      </c>
      <c r="B3860" s="2" t="inlineStr">
        <is>
          <t>IRU</t>
        </is>
      </c>
      <c r="C3860" s="2" t="inlineStr">
        <is>
          <t>2058943</t>
        </is>
      </c>
      <c r="D3860" s="2" t="inlineStr">
        <is>
          <t>Ноутбук IRU Strato 15ALI Core i5 1235U 8Gb SSD256Gb Intel Iris Xe graphics 15.6" IPS FHD (1920x1080) Free DOS black 6000mAh (2058943)</t>
        </is>
      </c>
      <c r="E3860" s="2" t="inlineStr">
        <is>
          <t>++ </t>
        </is>
      </c>
      <c r="F3860" s="2" t="inlineStr">
        <is>
          <t>++ </t>
        </is>
      </c>
      <c r="H3860" s="2">
        <v>544</v>
      </c>
      <c r="I3860" s="2" t="inlineStr">
        <is>
          <t>$</t>
        </is>
      </c>
      <c r="J3860" s="2">
        <f>HYPERLINK("https://app.astro.lead-studio.pro/product/3f330b59-2b18-4cbe-a343-146104c71b0a")</f>
      </c>
    </row>
    <row r="3861" spans="1:10" customHeight="0">
      <c r="A3861" s="2" t="inlineStr">
        <is>
          <t>Ноутбуки</t>
        </is>
      </c>
      <c r="B3861" s="2" t="inlineStr">
        <is>
          <t>IRU</t>
        </is>
      </c>
      <c r="C3861" s="2" t="inlineStr">
        <is>
          <t>2059124</t>
        </is>
      </c>
      <c r="D3861" s="2" t="inlineStr">
        <is>
          <t>Ноутбук IRU Strato 15ALI Core i5 1240P 16Gb SSD512Gb Intel Iris Xe graphics 15.6" IPS FHD (1920x1080) Windows 11 Professional Multi Language 64 black WiFi BT Cam 6000mAh (2059124)</t>
        </is>
      </c>
      <c r="E3861" s="2" t="inlineStr">
        <is>
          <t>+ </t>
        </is>
      </c>
      <c r="F3861" s="2" t="inlineStr">
        <is>
          <t>+ </t>
        </is>
      </c>
      <c r="H3861" s="2">
        <v>607</v>
      </c>
      <c r="I3861" s="2" t="inlineStr">
        <is>
          <t>$</t>
        </is>
      </c>
      <c r="J3861" s="2">
        <f>HYPERLINK("https://app.astro.lead-studio.pro/product/d34dffd4-e457-425b-9233-eda196921f9b")</f>
      </c>
    </row>
    <row r="3862" spans="1:10" customHeight="0">
      <c r="A3862" s="2" t="inlineStr">
        <is>
          <t>Ноутбуки</t>
        </is>
      </c>
      <c r="B3862" s="2" t="inlineStr">
        <is>
          <t>IRU</t>
        </is>
      </c>
      <c r="C3862" s="2" t="inlineStr">
        <is>
          <t>2059127</t>
        </is>
      </c>
      <c r="D3862" s="2" t="inlineStr">
        <is>
          <t>Ноутбук IRU Strato 15ALI Core i7 1255U 16Gb SSD512Gb Intel Iris Xe graphics 15.6" IPS FHD (1920x1080) Windows 11 Professional Multi Language 64 black WiFi BT Cam 6000mAh (2059127)</t>
        </is>
      </c>
      <c r="E3862" s="2" t="inlineStr">
        <is>
          <t>+ </t>
        </is>
      </c>
      <c r="F3862" s="2" t="inlineStr">
        <is>
          <t>+ </t>
        </is>
      </c>
      <c r="H3862" s="2">
        <v>821</v>
      </c>
      <c r="I3862" s="2" t="inlineStr">
        <is>
          <t>$</t>
        </is>
      </c>
      <c r="J3862" s="2">
        <f>HYPERLINK("https://app.astro.lead-studio.pro/product/c91310c2-b0c2-4bdb-a8f4-6cbc675cd77f")</f>
      </c>
    </row>
    <row r="3863" spans="1:10" customHeight="0">
      <c r="A3863" s="2" t="inlineStr">
        <is>
          <t>Ноутбуки</t>
        </is>
      </c>
      <c r="B3863" s="2" t="inlineStr">
        <is>
          <t>IRU</t>
        </is>
      </c>
      <c r="C3863" s="2" t="inlineStr">
        <is>
          <t>2058889</t>
        </is>
      </c>
      <c r="D3863" s="2" t="inlineStr">
        <is>
          <t>Ноутбук IRU Tactio 14ALH Core i3 1215U 16Gb SSD512Gb Intel Iris Xe graphics 14" IPS FHD (1920x1080) Free DOS grey 4000mAh (2058889)</t>
        </is>
      </c>
      <c r="E3863" s="2" t="inlineStr">
        <is>
          <t>++ </t>
        </is>
      </c>
      <c r="F3863" s="2" t="inlineStr">
        <is>
          <t>++ </t>
        </is>
      </c>
      <c r="H3863" s="2">
        <v>421</v>
      </c>
      <c r="I3863" s="2" t="inlineStr">
        <is>
          <t>$</t>
        </is>
      </c>
      <c r="J3863" s="2">
        <f>HYPERLINK("https://app.astro.lead-studio.pro/product/4686bbe6-66e9-4c59-a876-8814465f05c1")</f>
      </c>
    </row>
    <row r="3864" spans="1:10" customHeight="0">
      <c r="A3864" s="2" t="inlineStr">
        <is>
          <t>Ноутбуки</t>
        </is>
      </c>
      <c r="B3864" s="2" t="inlineStr">
        <is>
          <t>IRU</t>
        </is>
      </c>
      <c r="C3864" s="2" t="inlineStr">
        <is>
          <t>2059060</t>
        </is>
      </c>
      <c r="D3864" s="2" t="inlineStr">
        <is>
          <t>Ноутбук IRU Tactio 14ALH Core i3 1215U 16Gb SSD512Gb Intel UHD Graphics 14" IPS FHD (1920x1080) Windows 11 Professional Multi Language 64 grey WiFi BT Cam 4000mAh (2059060)</t>
        </is>
      </c>
      <c r="E3864" s="2" t="inlineStr">
        <is>
          <t>++ </t>
        </is>
      </c>
      <c r="F3864" s="2" t="inlineStr">
        <is>
          <t>++ </t>
        </is>
      </c>
      <c r="H3864" s="2">
        <v>441</v>
      </c>
      <c r="I3864" s="2" t="inlineStr">
        <is>
          <t>$</t>
        </is>
      </c>
      <c r="J3864" s="2">
        <f>HYPERLINK("https://app.astro.lead-studio.pro/product/c55d89bb-8633-431c-9059-556c8bf304c6")</f>
      </c>
    </row>
    <row r="3865" spans="1:10" customHeight="0">
      <c r="A3865" s="2" t="inlineStr">
        <is>
          <t>Ноутбуки</t>
        </is>
      </c>
      <c r="B3865" s="2" t="inlineStr">
        <is>
          <t>IRU</t>
        </is>
      </c>
      <c r="C3865" s="2" t="inlineStr">
        <is>
          <t>2058897</t>
        </is>
      </c>
      <c r="D3865" s="2" t="inlineStr">
        <is>
          <t>Ноутбук IRU Tactio 14ALH Core i3 1215U 8Gb SSD256Gb Intel Iris Xe graphics 14" IPS FHD (1920x1080) Free DOS grey 4000mAh (2058897)</t>
        </is>
      </c>
      <c r="E3865" s="2" t="inlineStr">
        <is>
          <t>+++ </t>
        </is>
      </c>
      <c r="F3865" s="2" t="inlineStr">
        <is>
          <t>+++ </t>
        </is>
      </c>
      <c r="H3865" s="2">
        <v>384</v>
      </c>
      <c r="I3865" s="2" t="inlineStr">
        <is>
          <t>$</t>
        </is>
      </c>
      <c r="J3865" s="2">
        <f>HYPERLINK("https://app.astro.lead-studio.pro/product/7a36545d-bb74-4b3e-be16-7013395549ce")</f>
      </c>
    </row>
    <row r="3866" spans="1:10" customHeight="0">
      <c r="A3866" s="2" t="inlineStr">
        <is>
          <t>Ноутбуки</t>
        </is>
      </c>
      <c r="B3866" s="2" t="inlineStr">
        <is>
          <t>IRU</t>
        </is>
      </c>
      <c r="C3866" s="2" t="inlineStr">
        <is>
          <t>2059058</t>
        </is>
      </c>
      <c r="D3866" s="2" t="inlineStr">
        <is>
          <t>Ноутбук IRU Tactio 14ALH Core i3 1215U 8Gb SSD256Gb Intel UHD Graphics 14" IPS FHD (1920x1080) Windows 11 Professional Multi Language 64 grey WiFi BT Cam 4000mAh (2059058)</t>
        </is>
      </c>
      <c r="E3866" s="2" t="inlineStr">
        <is>
          <t>+++ </t>
        </is>
      </c>
      <c r="F3866" s="2" t="inlineStr">
        <is>
          <t>+++ </t>
        </is>
      </c>
      <c r="H3866" s="2">
        <v>402</v>
      </c>
      <c r="I3866" s="2" t="inlineStr">
        <is>
          <t>$</t>
        </is>
      </c>
      <c r="J3866" s="2">
        <f>HYPERLINK("https://app.astro.lead-studio.pro/product/20034d7e-043d-440e-9bdd-2556579e4c3c")</f>
      </c>
    </row>
    <row r="3867" spans="1:10" customHeight="0">
      <c r="A3867" s="2" t="inlineStr">
        <is>
          <t>Ноутбуки</t>
        </is>
      </c>
      <c r="B3867" s="2" t="inlineStr">
        <is>
          <t>IRU</t>
        </is>
      </c>
      <c r="C3867" s="2" t="inlineStr">
        <is>
          <t>2058884</t>
        </is>
      </c>
      <c r="D3867" s="2" t="inlineStr">
        <is>
          <t>Ноутбук IRU Tactio 14ALH Core i5 1235U 16Gb SSD512Gb Intel Iris Xe graphics 14" IPS FHD (1920x1080) Free DOS grey 4000mAh (2058884)</t>
        </is>
      </c>
      <c r="E3867" s="2" t="inlineStr">
        <is>
          <t>+++ </t>
        </is>
      </c>
      <c r="F3867" s="2" t="inlineStr">
        <is>
          <t>+++ </t>
        </is>
      </c>
      <c r="H3867" s="2">
        <v>487</v>
      </c>
      <c r="I3867" s="2" t="inlineStr">
        <is>
          <t>$</t>
        </is>
      </c>
      <c r="J3867" s="2">
        <f>HYPERLINK("https://app.astro.lead-studio.pro/product/5d5f951f-d81f-443c-a278-21c92c6ee3ed")</f>
      </c>
    </row>
    <row r="3868" spans="1:10" customHeight="0">
      <c r="A3868" s="2" t="inlineStr">
        <is>
          <t>Ноутбуки</t>
        </is>
      </c>
      <c r="B3868" s="2" t="inlineStr">
        <is>
          <t>IRU</t>
        </is>
      </c>
      <c r="C3868" s="2" t="inlineStr">
        <is>
          <t>2059068</t>
        </is>
      </c>
      <c r="D3868" s="2" t="inlineStr">
        <is>
          <t>Ноутбук IRU Tactio 14ALH Core i5 1235U 16Gb SSD512Gb Intel Iris Xe graphics 14" IPS FHD (1920x1080) Windows 11 Professional Multi Language 64 grey WiFi BT Cam 4000mAh (2059068)</t>
        </is>
      </c>
      <c r="E3868" s="2" t="inlineStr">
        <is>
          <t>+++ </t>
        </is>
      </c>
      <c r="F3868" s="2" t="inlineStr">
        <is>
          <t>+++ </t>
        </is>
      </c>
      <c r="H3868" s="2">
        <v>514</v>
      </c>
      <c r="I3868" s="2" t="inlineStr">
        <is>
          <t>$</t>
        </is>
      </c>
      <c r="J3868" s="2">
        <f>HYPERLINK("https://app.astro.lead-studio.pro/product/d7b127a4-d49b-4706-89a3-269450012260")</f>
      </c>
    </row>
    <row r="3869" spans="1:10" customHeight="0">
      <c r="A3869" s="2" t="inlineStr">
        <is>
          <t>Ноутбуки</t>
        </is>
      </c>
      <c r="B3869" s="2" t="inlineStr">
        <is>
          <t>IRU</t>
        </is>
      </c>
      <c r="C3869" s="2" t="inlineStr">
        <is>
          <t>2058896</t>
        </is>
      </c>
      <c r="D3869" s="2" t="inlineStr">
        <is>
          <t>Ноутбук IRU Tactio 14ALH Core i5 1235U 8Gb SSD256Gb Intel Iris Xe graphics 14" IPS FHD (1920x1080) Free DOS grey 4000mAh (2058896)</t>
        </is>
      </c>
      <c r="E3869" s="2" t="inlineStr">
        <is>
          <t>+ </t>
        </is>
      </c>
      <c r="F3869" s="2" t="inlineStr">
        <is>
          <t>+ </t>
        </is>
      </c>
      <c r="H3869" s="2">
        <v>441</v>
      </c>
      <c r="I3869" s="2" t="inlineStr">
        <is>
          <t>$</t>
        </is>
      </c>
      <c r="J3869" s="2">
        <f>HYPERLINK("https://app.astro.lead-studio.pro/product/de07300e-76b2-40ca-b2b6-3f646d12fd50")</f>
      </c>
    </row>
    <row r="3870" spans="1:10" customHeight="0">
      <c r="A3870" s="2" t="inlineStr">
        <is>
          <t>Ноутбуки</t>
        </is>
      </c>
      <c r="B3870" s="2" t="inlineStr">
        <is>
          <t>IRU</t>
        </is>
      </c>
      <c r="C3870" s="2" t="inlineStr">
        <is>
          <t>2059065</t>
        </is>
      </c>
      <c r="D3870" s="2" t="inlineStr">
        <is>
          <t>Ноутбук IRU Tactio 14ALH Core i5 1235U 8Gb SSD256Gb Intel Iris Xe graphics 14" IPS FHD (1920x1080) Windows 11 Professional Multi Language 64 grey WiFi BT Cam 4000mAh (2059065)</t>
        </is>
      </c>
      <c r="E3870" s="2" t="inlineStr">
        <is>
          <t>+++ </t>
        </is>
      </c>
      <c r="F3870" s="2" t="inlineStr">
        <is>
          <t>+++ </t>
        </is>
      </c>
      <c r="H3870" s="2">
        <v>475</v>
      </c>
      <c r="I3870" s="2" t="inlineStr">
        <is>
          <t>$</t>
        </is>
      </c>
      <c r="J3870" s="2">
        <f>HYPERLINK("https://app.astro.lead-studio.pro/product/66b01e8c-3700-42ed-a6bf-44810119720e")</f>
      </c>
    </row>
    <row r="3871" spans="1:10" customHeight="0">
      <c r="A3871" s="2" t="inlineStr">
        <is>
          <t>Ноутбуки</t>
        </is>
      </c>
      <c r="B3871" s="2" t="inlineStr">
        <is>
          <t>IRU</t>
        </is>
      </c>
      <c r="C3871" s="2" t="inlineStr">
        <is>
          <t>2059088</t>
        </is>
      </c>
      <c r="D3871" s="2" t="inlineStr">
        <is>
          <t>Ноутбук IRU Tactio 14RLH Ryzen 5 Pro 5675U 16Gb SSD512Gb AMD Radeon Rx Vega 7 14" IPS FHD (1920x1080) Windows 11 Professional Multi Language 64 grey WiFi BT Cam 4000mAh (2059088)</t>
        </is>
      </c>
      <c r="E3871" s="2" t="inlineStr">
        <is>
          <t>+++ </t>
        </is>
      </c>
      <c r="F3871" s="2" t="inlineStr">
        <is>
          <t>+++ </t>
        </is>
      </c>
      <c r="H3871" s="2">
        <v>431</v>
      </c>
      <c r="I3871" s="2" t="inlineStr">
        <is>
          <t>$</t>
        </is>
      </c>
      <c r="J3871" s="2">
        <f>HYPERLINK("https://app.astro.lead-studio.pro/product/2dff03e8-5336-4eb9-8edd-60eefcd7e149")</f>
      </c>
    </row>
    <row r="3872" spans="1:10" customHeight="0">
      <c r="A3872" s="2" t="inlineStr">
        <is>
          <t>Ноутбуки</t>
        </is>
      </c>
      <c r="B3872" s="2" t="inlineStr">
        <is>
          <t>IRU</t>
        </is>
      </c>
      <c r="C3872" s="2" t="inlineStr">
        <is>
          <t>2058867</t>
        </is>
      </c>
      <c r="D3872" s="2" t="inlineStr">
        <is>
          <t>Ноутбук IRU Tactio 14RLH Ryzen 5 Pro 5675U 8Gb SSD256Gb AMD Radeon Rx Vega 7 14" IPS FHD (1920x1080) Free DOS grey WiFi BT Cam 4000mAh (2058867)</t>
        </is>
      </c>
      <c r="E3872" s="2" t="inlineStr">
        <is>
          <t>+ </t>
        </is>
      </c>
      <c r="F3872" s="2" t="inlineStr">
        <is>
          <t>+ </t>
        </is>
      </c>
      <c r="H3872" s="2">
        <v>366</v>
      </c>
      <c r="I3872" s="2" t="inlineStr">
        <is>
          <t>$</t>
        </is>
      </c>
      <c r="J3872" s="2">
        <f>HYPERLINK("https://app.astro.lead-studio.pro/product/ca438f52-87dd-4279-a182-a2ba168337c0")</f>
      </c>
    </row>
    <row r="3873" spans="1:10" customHeight="0">
      <c r="A3873" s="2" t="inlineStr">
        <is>
          <t>Ноутбуки</t>
        </is>
      </c>
      <c r="B3873" s="2" t="inlineStr">
        <is>
          <t>IRU</t>
        </is>
      </c>
      <c r="C3873" s="2" t="inlineStr">
        <is>
          <t>2059083</t>
        </is>
      </c>
      <c r="D3873" s="2" t="inlineStr">
        <is>
          <t>Ноутбук IRU Tactio 14RLH Ryzen 5 Pro 5675U 8Gb SSD256Gb AMD Radeon Rx Vega 7 14" IPS FHD (1920x1080) Windows 11 Professional Multi Language 64 grey WiFi BT Cam 4000mAh (2059083)</t>
        </is>
      </c>
      <c r="E3873" s="2" t="inlineStr">
        <is>
          <t>+++ </t>
        </is>
      </c>
      <c r="F3873" s="2" t="inlineStr">
        <is>
          <t>+++ </t>
        </is>
      </c>
      <c r="H3873" s="2">
        <v>395</v>
      </c>
      <c r="I3873" s="2" t="inlineStr">
        <is>
          <t>$</t>
        </is>
      </c>
      <c r="J3873" s="2">
        <f>HYPERLINK("https://app.astro.lead-studio.pro/product/bf197250-b085-4713-8fa8-a18e95775efe")</f>
      </c>
    </row>
    <row r="3874" spans="1:10" customHeight="0">
      <c r="A3874" s="2" t="inlineStr">
        <is>
          <t>Ноутбуки</t>
        </is>
      </c>
      <c r="B3874" s="2" t="inlineStr">
        <is>
          <t>IRU</t>
        </is>
      </c>
      <c r="C3874" s="2" t="inlineStr">
        <is>
          <t>2019268</t>
        </is>
      </c>
      <c r="D3874" s="2" t="inlineStr">
        <is>
          <t>Ноутбук IRU Tactio 15ALG Core i3 1215U 16Gb SSD512Gb Intel UHD Graphics 15.6" IPS FHD (1920x1080) Windows 11 Professional 64 black WiFi BT Cam 4500mAh (2019268)</t>
        </is>
      </c>
      <c r="E3874" s="2" t="inlineStr">
        <is>
          <t>+++ </t>
        </is>
      </c>
      <c r="F3874" s="2" t="inlineStr">
        <is>
          <t>+++ </t>
        </is>
      </c>
      <c r="H3874" s="2">
        <v>484</v>
      </c>
      <c r="I3874" s="2" t="inlineStr">
        <is>
          <t>$</t>
        </is>
      </c>
      <c r="J3874" s="2">
        <f>HYPERLINK("https://app.astro.lead-studio.pro/product/f13b5742-f83c-4766-be18-d869232a3202")</f>
      </c>
    </row>
    <row r="3875" spans="1:10" customHeight="0">
      <c r="A3875" s="2" t="inlineStr">
        <is>
          <t>Ноутбуки</t>
        </is>
      </c>
      <c r="B3875" s="2" t="inlineStr">
        <is>
          <t>IRU</t>
        </is>
      </c>
      <c r="C3875" s="2" t="inlineStr">
        <is>
          <t>2023565</t>
        </is>
      </c>
      <c r="D3875" s="2" t="inlineStr">
        <is>
          <t>Ноутбук IRU Tactio 15ALG Core i3 1215U 8Gb SSD256Gb Intel UHD Graphics 15.6" IPS FHD (1920x1080) noOS black WiFi BT Cam 4500mAh (2023565)</t>
        </is>
      </c>
      <c r="E3875" s="2" t="inlineStr">
        <is>
          <t>+++ </t>
        </is>
      </c>
      <c r="F3875" s="2" t="inlineStr">
        <is>
          <t>+++ </t>
        </is>
      </c>
      <c r="H3875" s="2">
        <v>404</v>
      </c>
      <c r="I3875" s="2" t="inlineStr">
        <is>
          <t>$</t>
        </is>
      </c>
      <c r="J3875" s="2">
        <f>HYPERLINK("https://app.astro.lead-studio.pro/product/a0f3e783-9ec1-44d3-9c5d-f4d699ccad70")</f>
      </c>
    </row>
    <row r="3876" spans="1:10" customHeight="0">
      <c r="A3876" s="2" t="inlineStr">
        <is>
          <t>Ноутбуки</t>
        </is>
      </c>
      <c r="B3876" s="2" t="inlineStr">
        <is>
          <t>IRU</t>
        </is>
      </c>
      <c r="C3876" s="2" t="inlineStr">
        <is>
          <t>2019263</t>
        </is>
      </c>
      <c r="D3876" s="2" t="inlineStr">
        <is>
          <t>Ноутбук IRU Tactio 15ALG Core i3 1215U 8Gb SSD256Gb Intel UHD Graphics 15.6" IPS FHD (1920x1080) Windows 11 Professional 64 black WiFi BT Cam 4500mAh (2019263)</t>
        </is>
      </c>
      <c r="E3876" s="2" t="inlineStr">
        <is>
          <t>+++ </t>
        </is>
      </c>
      <c r="F3876" s="2" t="inlineStr">
        <is>
          <t>+++ </t>
        </is>
      </c>
      <c r="H3876" s="2">
        <v>423</v>
      </c>
      <c r="I3876" s="2" t="inlineStr">
        <is>
          <t>$</t>
        </is>
      </c>
      <c r="J3876" s="2">
        <f>HYPERLINK("https://app.astro.lead-studio.pro/product/4161d3a9-7e5e-4b24-aa23-426de49a91e3")</f>
      </c>
    </row>
    <row r="3877" spans="1:10" customHeight="0">
      <c r="A3877" s="2" t="inlineStr">
        <is>
          <t>Ноутбуки</t>
        </is>
      </c>
      <c r="B3877" s="2" t="inlineStr">
        <is>
          <t>IRU</t>
        </is>
      </c>
      <c r="C3877" s="2" t="inlineStr">
        <is>
          <t>2023571</t>
        </is>
      </c>
      <c r="D3877" s="2" t="inlineStr">
        <is>
          <t>Ноутбук IRU Tactio 15ALG Core i5 1235U 16Gb SSD512Gb Intel Iris Xe graphics 15.6" IPS FHD (1920x1080) noOS black WiFi BT Cam 4500mAh (2023571)</t>
        </is>
      </c>
      <c r="E3877" s="2" t="inlineStr">
        <is>
          <t>+ </t>
        </is>
      </c>
      <c r="F3877" s="2" t="inlineStr">
        <is>
          <t>+ </t>
        </is>
      </c>
      <c r="H3877" s="2">
        <v>515</v>
      </c>
      <c r="I3877" s="2" t="inlineStr">
        <is>
          <t>$</t>
        </is>
      </c>
      <c r="J3877" s="2">
        <f>HYPERLINK("https://app.astro.lead-studio.pro/product/3b134fe2-77ac-4279-b76b-33de8c4f04cc")</f>
      </c>
    </row>
    <row r="3878" spans="1:10" customHeight="0">
      <c r="A3878" s="2" t="inlineStr">
        <is>
          <t>Ноутбуки</t>
        </is>
      </c>
      <c r="B3878" s="2" t="inlineStr">
        <is>
          <t>IRU</t>
        </is>
      </c>
      <c r="C3878" s="2" t="inlineStr">
        <is>
          <t>2019269</t>
        </is>
      </c>
      <c r="D3878" s="2" t="inlineStr">
        <is>
          <t>Ноутбук IRU Tactio 15ALG Core i5 1235U 16Gb SSD512Gb Intel Iris Xe graphics 15.6" IPS FHD (1920x1080) Windows 11 Professional 64 black WiFi BT Cam 4500mAh (2019269)</t>
        </is>
      </c>
      <c r="E3878" s="2" t="inlineStr">
        <is>
          <t>+++ </t>
        </is>
      </c>
      <c r="F3878" s="2" t="inlineStr">
        <is>
          <t>+++ </t>
        </is>
      </c>
      <c r="H3878" s="2">
        <v>519</v>
      </c>
      <c r="I3878" s="2" t="inlineStr">
        <is>
          <t>$</t>
        </is>
      </c>
      <c r="J3878" s="2">
        <f>HYPERLINK("https://app.astro.lead-studio.pro/product/74a667dd-6da6-4fdd-b3f0-3d47cd449dca")</f>
      </c>
    </row>
    <row r="3879" spans="1:10" customHeight="0">
      <c r="A3879" s="2" t="inlineStr">
        <is>
          <t>Ноутбуки</t>
        </is>
      </c>
      <c r="B3879" s="2" t="inlineStr">
        <is>
          <t>IRU</t>
        </is>
      </c>
      <c r="C3879" s="2" t="inlineStr">
        <is>
          <t>2019270</t>
        </is>
      </c>
      <c r="D3879" s="2" t="inlineStr">
        <is>
          <t>Ноутбук IRU Tactio 15ALG Core i5 1235U 8Gb SSD512Gb Intel Iris Xe graphics 15.6" IPS FHD (1920x1080) Windows 11 Professional 64 black WiFi BT Cam 4500mAh (2019270)</t>
        </is>
      </c>
      <c r="E3879" s="2" t="inlineStr">
        <is>
          <t>++ </t>
        </is>
      </c>
      <c r="F3879" s="2" t="inlineStr">
        <is>
          <t>++ </t>
        </is>
      </c>
      <c r="H3879" s="2">
        <v>511</v>
      </c>
      <c r="I3879" s="2" t="inlineStr">
        <is>
          <t>$</t>
        </is>
      </c>
      <c r="J3879" s="2">
        <f>HYPERLINK("https://app.astro.lead-studio.pro/product/ac89cafa-02ee-49ed-a757-5849076e8e95")</f>
      </c>
    </row>
    <row r="3880" spans="1:10" customHeight="0">
      <c r="A3880" s="2" t="inlineStr">
        <is>
          <t>Ноутбуки</t>
        </is>
      </c>
      <c r="B3880" s="2" t="inlineStr">
        <is>
          <t>IRU</t>
        </is>
      </c>
      <c r="C3880" s="2" t="inlineStr">
        <is>
          <t>1930300</t>
        </is>
      </c>
      <c r="D3880" s="2" t="inlineStr">
        <is>
          <t>Ноутбук IRU Калибр 15ALC Core i5 12500H 16Gb SSD512Gb NVIDIA GeForce RTX 3050 4Gb 15.6" IPS FHD (1920x1080) без ОС black WiFi BT Cam 3465mAh (1930300)</t>
        </is>
      </c>
      <c r="E3880" s="2" t="inlineStr">
        <is>
          <t>+ </t>
        </is>
      </c>
      <c r="F3880" s="2" t="inlineStr">
        <is>
          <t>+ </t>
        </is>
      </c>
      <c r="H3880" s="2">
        <v>934</v>
      </c>
      <c r="I3880" s="2" t="inlineStr">
        <is>
          <t>$</t>
        </is>
      </c>
      <c r="J3880" s="2">
        <f>HYPERLINK("https://app.astro.lead-studio.pro/product/274943d4-da49-45df-84b7-4f969585a8b9")</f>
      </c>
    </row>
    <row r="3881" spans="1:10" customHeight="0">
      <c r="A3881" s="2" t="inlineStr">
        <is>
          <t>Ноутбуки</t>
        </is>
      </c>
      <c r="B3881" s="2" t="inlineStr">
        <is>
          <t>IRU</t>
        </is>
      </c>
      <c r="C3881" s="2" t="inlineStr">
        <is>
          <t>1930301</t>
        </is>
      </c>
      <c r="D3881" s="2" t="inlineStr">
        <is>
          <t>Ноутбук IRU Калибр 15ALC Core i5 12500H 16Gb SSD512Gb NVIDIA GeForce RTX 3060 6Gb 15.6" IPS FHD (1920x1080) без ОС black WiFi BT Cam 3465mAh (1930301)</t>
        </is>
      </c>
      <c r="E3881" s="2" t="inlineStr">
        <is>
          <t>+ </t>
        </is>
      </c>
      <c r="F3881" s="2" t="inlineStr">
        <is>
          <t>+ </t>
        </is>
      </c>
      <c r="H3881" s="2">
        <v>1043</v>
      </c>
      <c r="I3881" s="2" t="inlineStr">
        <is>
          <t>$</t>
        </is>
      </c>
      <c r="J3881" s="2">
        <f>HYPERLINK("https://app.astro.lead-studio.pro/product/4ba9863d-97d5-4ffd-8976-d145162b7991")</f>
      </c>
    </row>
    <row r="3882" spans="1:10" customHeight="0">
      <c r="A3882" s="2" t="inlineStr">
        <is>
          <t>Ноутбуки</t>
        </is>
      </c>
      <c r="B3882" s="2" t="inlineStr">
        <is>
          <t>IRU</t>
        </is>
      </c>
      <c r="C3882" s="2" t="inlineStr">
        <is>
          <t>1977829</t>
        </is>
      </c>
      <c r="D3882" s="2" t="inlineStr">
        <is>
          <t>Ноутбук IRU Оникс 15U Core i5 1135G7 16Gb SSD512Gb Intel Iris Xe graphics G7 15.6" IPS FHD (1920x1080) FreeDOS black 8000mAh (1977829)</t>
        </is>
      </c>
      <c r="E3882" s="2" t="inlineStr">
        <is>
          <t>+ </t>
        </is>
      </c>
      <c r="F3882" s="2" t="inlineStr">
        <is>
          <t>+ </t>
        </is>
      </c>
      <c r="H3882" s="2">
        <v>677</v>
      </c>
      <c r="I3882" s="2" t="inlineStr">
        <is>
          <t>$</t>
        </is>
      </c>
      <c r="J3882" s="2">
        <f>HYPERLINK("https://app.astro.lead-studio.pro/product/4b4ac57f-fe7e-4b0a-8426-ab871ff459c5")</f>
      </c>
    </row>
    <row r="3883" spans="1:10" customHeight="0">
      <c r="A3883" s="2" t="inlineStr">
        <is>
          <t>Ноутбуки</t>
        </is>
      </c>
      <c r="B3883" s="2" t="inlineStr">
        <is>
          <t>KVADRA</t>
        </is>
      </c>
      <c r="C3883" s="2" t="inlineStr">
        <is>
          <t>Y22L01P01101R_3C7D51</t>
        </is>
      </c>
      <c r="D3883" s="2" t="inlineStr">
        <is>
          <t>Ноутбук Kvadra Nau LE14U Core i3 1215U 8Gb SSD256Gb Intel UHD Graphics 14.1" IPS FHD (1920x1080) без ОС dk.grey WiFi BT Cam (Y22L01P01101R_3C7D51)</t>
        </is>
      </c>
      <c r="E3883" s="2" t="inlineStr">
        <is>
          <t>+ </t>
        </is>
      </c>
      <c r="F3883" s="2" t="inlineStr">
        <is>
          <t>+ </t>
        </is>
      </c>
      <c r="H3883" s="2">
        <v>1058</v>
      </c>
      <c r="I3883" s="2" t="inlineStr">
        <is>
          <t>$</t>
        </is>
      </c>
      <c r="J3883" s="2">
        <f>HYPERLINK("https://app.astro.lead-studio.pro/product/37881f34-414e-40b7-9191-fe2136755603")</f>
      </c>
    </row>
    <row r="3884" spans="1:10" customHeight="0">
      <c r="A3884" s="2" t="inlineStr">
        <is>
          <t>Ноутбуки</t>
        </is>
      </c>
      <c r="B3884" s="2" t="inlineStr">
        <is>
          <t>KVADRA</t>
        </is>
      </c>
      <c r="C3884" s="2" t="inlineStr">
        <is>
          <t>Y22L02P01101R_A4B955</t>
        </is>
      </c>
      <c r="D3884" s="2" t="inlineStr">
        <is>
          <t>Ноутбук Kvadra Nau LE15T Core i3 1215U 16Gb SSD512Gb Intel UHD Graphics 15.6" FHD (1920x1080) без ОС graphite WiFi BT Cam (Y22L02P01101R_A4B955)</t>
        </is>
      </c>
      <c r="E3884" s="2" t="inlineStr">
        <is>
          <t>++ </t>
        </is>
      </c>
      <c r="F3884" s="2" t="inlineStr">
        <is>
          <t>++ </t>
        </is>
      </c>
      <c r="H3884" s="2">
        <v>1316</v>
      </c>
      <c r="I3884" s="2" t="inlineStr">
        <is>
          <t>$</t>
        </is>
      </c>
      <c r="J3884" s="2">
        <f>HYPERLINK("https://app.astro.lead-studio.pro/product/f6f74ced-0d72-43ca-944f-431da8270947")</f>
      </c>
    </row>
    <row r="3885" spans="1:10" customHeight="0">
      <c r="A3885" s="2" t="inlineStr">
        <is>
          <t>Ноутбуки</t>
        </is>
      </c>
      <c r="B3885" s="2" t="inlineStr">
        <is>
          <t>KVADRA</t>
        </is>
      </c>
      <c r="C3885" s="2" t="inlineStr">
        <is>
          <t>Y22L02P01101R_329EB4</t>
        </is>
      </c>
      <c r="D3885" s="2" t="inlineStr">
        <is>
          <t>Ноутбук Kvadra Nau LE15T Core i3 1215U 8Gb SSD256Gb Intel UHD Graphics 15.6" IPS FHD (1920x1080) без ОС dk.grey WiFi BT Cam (Y22L02P01101R_329EB4)</t>
        </is>
      </c>
      <c r="E3885" s="2" t="inlineStr">
        <is>
          <t>+ </t>
        </is>
      </c>
      <c r="F3885" s="2" t="inlineStr">
        <is>
          <t>+ </t>
        </is>
      </c>
      <c r="H3885" s="2">
        <v>1124</v>
      </c>
      <c r="I3885" s="2" t="inlineStr">
        <is>
          <t>$</t>
        </is>
      </c>
      <c r="J3885" s="2">
        <f>HYPERLINK("https://app.astro.lead-studio.pro/product/3f60892e-cd6b-4828-a038-d6fcb9ff4894")</f>
      </c>
    </row>
    <row r="3886" spans="1:10" customHeight="0">
      <c r="A3886" s="2" t="inlineStr">
        <is>
          <t>Ноутбуки</t>
        </is>
      </c>
      <c r="B3886" s="2" t="inlineStr">
        <is>
          <t>KVADRA</t>
        </is>
      </c>
      <c r="C3886" s="2" t="inlineStr">
        <is>
          <t>Y22L02P01101R_98F693</t>
        </is>
      </c>
      <c r="D3886" s="2" t="inlineStr">
        <is>
          <t>Ноутбук Kvadra Nau LE15T Core i5 1235U 16Gb SSD512Gb Intel UHD Graphics 15.6" FHD (1920x1080) без ОС graphite WiFi BT Cam (Y22L02P01101R_98F693)</t>
        </is>
      </c>
      <c r="E3886" s="2" t="inlineStr">
        <is>
          <t>+ </t>
        </is>
      </c>
      <c r="F3886" s="2" t="inlineStr">
        <is>
          <t>+ </t>
        </is>
      </c>
      <c r="H3886" s="2">
        <v>1435</v>
      </c>
      <c r="I3886" s="2" t="inlineStr">
        <is>
          <t>$</t>
        </is>
      </c>
      <c r="J3886" s="2">
        <f>HYPERLINK("https://app.astro.lead-studio.pro/product/396bd331-3ab7-4cc2-8ac2-2d8d7c113bd1")</f>
      </c>
    </row>
    <row r="3887" spans="1:10" customHeight="0">
      <c r="A3887" s="2" t="inlineStr">
        <is>
          <t>Ноутбуки</t>
        </is>
      </c>
      <c r="B3887" s="2" t="inlineStr">
        <is>
          <t>KVADRA</t>
        </is>
      </c>
      <c r="C3887" s="2" t="inlineStr">
        <is>
          <t>Y22L02P01101R_B8DFCF</t>
        </is>
      </c>
      <c r="D3887" s="2" t="inlineStr">
        <is>
          <t>Ноутбук Kvadra Nau LE15T Core i5 1235U 16Gb SSD512Gb Intel UHD Graphics 15.6" IPS FHD (1920x1080) без ОС dk.grey WiFi BT Cam (Y22L02P01101R_B8DFCF)</t>
        </is>
      </c>
      <c r="E3887" s="2" t="inlineStr">
        <is>
          <t>+ </t>
        </is>
      </c>
      <c r="F3887" s="2" t="inlineStr">
        <is>
          <t>+ </t>
        </is>
      </c>
      <c r="H3887" s="2">
        <v>1469</v>
      </c>
      <c r="I3887" s="2" t="inlineStr">
        <is>
          <t>$</t>
        </is>
      </c>
      <c r="J3887" s="2">
        <f>HYPERLINK("https://app.astro.lead-studio.pro/product/87c0b225-6e61-43af-9dc2-eba4c2479f29")</f>
      </c>
    </row>
    <row r="3888" spans="1:10" customHeight="0">
      <c r="A3888" s="2" t="inlineStr">
        <is>
          <t>Ноутбуки</t>
        </is>
      </c>
      <c r="B3888" s="2" t="inlineStr">
        <is>
          <t>KVADRA</t>
        </is>
      </c>
      <c r="C3888" s="2" t="inlineStr">
        <is>
          <t>Y22L02P01101R_3A98DE</t>
        </is>
      </c>
      <c r="D3888" s="2" t="inlineStr">
        <is>
          <t>Ноутбук Kvadra Nau LE15T Core i5 1235U 8Gb SSD256Gb Intel UHD Graphics 15.6" FHD (1920x1080) noOS dk.grey WiFi BT Cam (Y22L02P01101R_3A98DE)</t>
        </is>
      </c>
      <c r="E3888" s="2" t="inlineStr">
        <is>
          <t>+ </t>
        </is>
      </c>
      <c r="F3888" s="2" t="inlineStr">
        <is>
          <t>+ </t>
        </is>
      </c>
      <c r="H3888" s="2">
        <v>1443</v>
      </c>
      <c r="I3888" s="2" t="inlineStr">
        <is>
          <t>$</t>
        </is>
      </c>
      <c r="J3888" s="2">
        <f>HYPERLINK("https://app.astro.lead-studio.pro/product/7f1495fe-fd2a-4796-86d8-9104fc5425cb")</f>
      </c>
    </row>
    <row r="3889" spans="1:10" customHeight="0">
      <c r="A3889" s="2" t="inlineStr">
        <is>
          <t>Ноутбуки</t>
        </is>
      </c>
      <c r="B3889" s="2" t="inlineStr">
        <is>
          <t>KVADRA</t>
        </is>
      </c>
      <c r="C3889" s="2" t="inlineStr">
        <is>
          <t>Y22L02P01101R_BE1515</t>
        </is>
      </c>
      <c r="D3889" s="2" t="inlineStr">
        <is>
          <t>Ноутбук Kvadra Nau LE15T Core i5 1235U 8Gb SSD256Gb Intel UHD Graphics 15.6" IPS FHD (1920x1080) без ОС dk.grey WiFi BT Cam (Y22L02P01101R_BE1515)</t>
        </is>
      </c>
      <c r="E3889" s="2" t="inlineStr">
        <is>
          <t>+ </t>
        </is>
      </c>
      <c r="F3889" s="2" t="inlineStr">
        <is>
          <t>+ </t>
        </is>
      </c>
      <c r="H3889" s="2">
        <v>1374</v>
      </c>
      <c r="I3889" s="2" t="inlineStr">
        <is>
          <t>$</t>
        </is>
      </c>
      <c r="J3889" s="2">
        <f>HYPERLINK("https://app.astro.lead-studio.pro/product/d9191eb2-f672-486d-ac02-091ec770aaf2")</f>
      </c>
    </row>
    <row r="3890" spans="1:10" customHeight="0">
      <c r="A3890" s="2" t="inlineStr">
        <is>
          <t>Ноутбуки</t>
        </is>
      </c>
      <c r="B3890" s="2" t="inlineStr">
        <is>
          <t>LENOVO</t>
        </is>
      </c>
      <c r="C3890" s="2" t="inlineStr">
        <is>
          <t>82QD00EJUE</t>
        </is>
      </c>
      <c r="D3890" s="2" t="inlineStr">
        <is>
          <t>Ноутбук Lenovo IdeaPad 1 15IAU7 Core i3 1215U 8Gb SSD512Gb Intel UHD Graphics 15.6" TN FHD (1920x1080) без ОС grey WiFi BT Cam (82QD00EJUE)</t>
        </is>
      </c>
      <c r="E3890" s="2" t="inlineStr">
        <is>
          <t>+++ </t>
        </is>
      </c>
      <c r="F3890" s="2" t="inlineStr">
        <is>
          <t>+++ </t>
        </is>
      </c>
      <c r="H3890" s="2">
        <v>434</v>
      </c>
      <c r="I3890" s="2" t="inlineStr">
        <is>
          <t>$</t>
        </is>
      </c>
      <c r="J3890" s="2">
        <f>HYPERLINK("https://app.astro.lead-studio.pro/product/899176e8-a8c0-4966-a37a-a382631e5dd7")</f>
      </c>
    </row>
    <row r="3891" spans="1:10" customHeight="0">
      <c r="A3891" s="2" t="inlineStr">
        <is>
          <t>Ноутбуки</t>
        </is>
      </c>
      <c r="B3891" s="2" t="inlineStr">
        <is>
          <t>LENOVO</t>
        </is>
      </c>
      <c r="C3891" s="2" t="inlineStr">
        <is>
          <t>83D30028RK</t>
        </is>
      </c>
      <c r="D3891" s="2" t="inlineStr">
        <is>
          <t>Ноутбук Lenovo IdeaPad 5 Pro 14AHP9 Ryzen 5 8645HS 16Gb SSD1Tb NVIDIA GeForce RTX 3050 6Gb 14" OLED 2.8K (2880x1800) без ОС grey WiFi BT Cam (83D30028RK)</t>
        </is>
      </c>
      <c r="E3891" s="2" t="inlineStr">
        <is>
          <t>+ </t>
        </is>
      </c>
      <c r="F3891" s="2" t="inlineStr">
        <is>
          <t>+ </t>
        </is>
      </c>
      <c r="H3891" s="2">
        <v>1283</v>
      </c>
      <c r="I3891" s="2" t="inlineStr">
        <is>
          <t>$</t>
        </is>
      </c>
      <c r="J3891" s="2">
        <f>HYPERLINK("https://app.astro.lead-studio.pro/product/a85961b5-0edd-4317-9a35-0f5dd46403e7")</f>
      </c>
    </row>
    <row r="3892" spans="1:10" customHeight="0">
      <c r="A3892" s="2" t="inlineStr">
        <is>
          <t>Ноутбуки</t>
        </is>
      </c>
      <c r="B3892" s="2" t="inlineStr">
        <is>
          <t>LENOVO</t>
        </is>
      </c>
      <c r="C3892" s="2" t="inlineStr">
        <is>
          <t>83D4003MRK</t>
        </is>
      </c>
      <c r="D3892" s="2" t="inlineStr">
        <is>
          <t>Ноутбук Lenovo IdeaPad 5 Pro 16IMH9 Core Ultra 5 125H 16Gb SSD1Tb NVIDIA GeForce RTX 3050 6Gb 16" OLED 2K (2048x1280) без ОС grey WiFi BT Cam (83D4003MRK)</t>
        </is>
      </c>
      <c r="E3892" s="2" t="inlineStr">
        <is>
          <t>+ </t>
        </is>
      </c>
      <c r="F3892" s="2" t="inlineStr">
        <is>
          <t>+ </t>
        </is>
      </c>
      <c r="H3892" s="2">
        <v>1454</v>
      </c>
      <c r="I3892" s="2" t="inlineStr">
        <is>
          <t>$</t>
        </is>
      </c>
      <c r="J3892" s="2">
        <f>HYPERLINK("https://app.astro.lead-studio.pro/product/ef3dd0f2-5dd8-4b24-a870-a4c2e7b7b63e")</f>
      </c>
    </row>
    <row r="3893" spans="1:10" customHeight="0">
      <c r="A3893" s="2" t="inlineStr">
        <is>
          <t>Ноутбуки</t>
        </is>
      </c>
      <c r="B3893" s="2" t="inlineStr">
        <is>
          <t>LENOVO</t>
        </is>
      </c>
      <c r="C3893" s="2" t="inlineStr">
        <is>
          <t>83D4003NRK</t>
        </is>
      </c>
      <c r="D3893" s="2" t="inlineStr">
        <is>
          <t>Ноутбук Lenovo IdeaPad 5 Pro 16IMH9 Core Ultra 7 155H 16Gb SSD1Tb NVIDIA GeForce RTX 3050 6Gb 16" OLED 2K (2048x1280) без ОС grey WiFi BT Cam (83D4003NRK)</t>
        </is>
      </c>
      <c r="E3893" s="2" t="inlineStr">
        <is>
          <t>+ </t>
        </is>
      </c>
      <c r="F3893" s="2" t="inlineStr">
        <is>
          <t>+ </t>
        </is>
      </c>
      <c r="H3893" s="2">
        <v>1555</v>
      </c>
      <c r="I3893" s="2" t="inlineStr">
        <is>
          <t>$</t>
        </is>
      </c>
      <c r="J3893" s="2">
        <f>HYPERLINK("https://app.astro.lead-studio.pro/product/f0471055-a36f-4d1d-b7e1-06ea989a28e8")</f>
      </c>
    </row>
    <row r="3894" spans="1:10" customHeight="0">
      <c r="A3894" s="2" t="inlineStr">
        <is>
          <t>Ноутбуки</t>
        </is>
      </c>
      <c r="B3894" s="2" t="inlineStr">
        <is>
          <t>LENOVO</t>
        </is>
      </c>
      <c r="C3894" s="2" t="inlineStr">
        <is>
          <t>83D4003PRK</t>
        </is>
      </c>
      <c r="D3894" s="2" t="inlineStr">
        <is>
          <t>Ноутбук Lenovo IdeaPad 5 Pro 16IMH9 Core Ultra 7 155H 16Gb SSD1Tb NVIDIA GeForce RTX4050 6Gb 16" OLED 2K (2048x1280) без ОС grey WiFi BT Cam (83D4003PRK)</t>
        </is>
      </c>
      <c r="E3894" s="2" t="inlineStr">
        <is>
          <t>+ </t>
        </is>
      </c>
      <c r="F3894" s="2" t="inlineStr">
        <is>
          <t>+ </t>
        </is>
      </c>
      <c r="H3894" s="2">
        <v>1750</v>
      </c>
      <c r="I3894" s="2" t="inlineStr">
        <is>
          <t>$</t>
        </is>
      </c>
      <c r="J3894" s="2">
        <f>HYPERLINK("https://app.astro.lead-studio.pro/product/6c6d8b0a-dd96-4649-9bb4-a394947e03b7")</f>
      </c>
    </row>
    <row r="3895" spans="1:10" customHeight="0">
      <c r="A3895" s="2" t="inlineStr">
        <is>
          <t>Ноутбуки</t>
        </is>
      </c>
      <c r="B3895" s="2" t="inlineStr">
        <is>
          <t>LENOVO</t>
        </is>
      </c>
      <c r="C3895" s="2" t="inlineStr">
        <is>
          <t>82XM000ARK</t>
        </is>
      </c>
      <c r="D3895" s="2" t="inlineStr">
        <is>
          <t>Ноутбук Lenovo IdeaPad Slim 3 15ABR8 Ryzen 7 7730U 16Gb SSD1Tb AMD Radeon 15.6" TN FHD (1920x1080) без ОС grey WiFi BT Cam (82XM000ARK)</t>
        </is>
      </c>
      <c r="E3895" s="2" t="inlineStr">
        <is>
          <t>+ </t>
        </is>
      </c>
      <c r="F3895" s="2" t="inlineStr">
        <is>
          <t>+ </t>
        </is>
      </c>
      <c r="H3895" s="2">
        <v>677</v>
      </c>
      <c r="I3895" s="2" t="inlineStr">
        <is>
          <t>$</t>
        </is>
      </c>
      <c r="J3895" s="2">
        <f>HYPERLINK("https://app.astro.lead-studio.pro/product/60965d95-544a-4f6f-b150-eea48668bf22")</f>
      </c>
    </row>
    <row r="3896" spans="1:10" customHeight="0">
      <c r="A3896" s="2" t="inlineStr">
        <is>
          <t>Ноутбуки</t>
        </is>
      </c>
      <c r="B3896" s="2" t="inlineStr">
        <is>
          <t>LENOVO</t>
        </is>
      </c>
      <c r="C3896" s="2" t="inlineStr">
        <is>
          <t>82XQ00B5PS</t>
        </is>
      </c>
      <c r="D3896" s="2" t="inlineStr">
        <is>
          <t>Ноутбук Lenovo IdeaPad Slim 3 15AMN8 Ryzen 3 7320U 8Gb SSD256Gb AMD Radeon 610M 15.6" IPS FHD (1920x1080) без ОС grey WiFi BT Cam (82XQ00B5PS)</t>
        </is>
      </c>
      <c r="E3896" s="2" t="inlineStr">
        <is>
          <t>+++ </t>
        </is>
      </c>
      <c r="F3896" s="2" t="inlineStr">
        <is>
          <t>+++ </t>
        </is>
      </c>
      <c r="H3896" s="2">
        <v>398</v>
      </c>
      <c r="I3896" s="2" t="inlineStr">
        <is>
          <t>$</t>
        </is>
      </c>
      <c r="J3896" s="2">
        <f>HYPERLINK("https://app.astro.lead-studio.pro/product/e154d86d-adf7-4841-85a0-bc9d2d752fd6")</f>
      </c>
    </row>
    <row r="3897" spans="1:10" customHeight="0">
      <c r="A3897" s="2" t="inlineStr">
        <is>
          <t>Ноутбуки</t>
        </is>
      </c>
      <c r="B3897" s="2" t="inlineStr">
        <is>
          <t>LENOVO</t>
        </is>
      </c>
      <c r="C3897" s="2" t="inlineStr">
        <is>
          <t>82XQ0006RK</t>
        </is>
      </c>
      <c r="D3897" s="2" t="inlineStr">
        <is>
          <t>Ноутбук Lenovo IdeaPad Slim 3 15AMN8 Ryzen 5 7520U 8Gb SSD256Gb AMD Radeon 610M 15.6" TN FHD (1920x1080) без ОС grey WiFi BT Cam (82XQ0006RK)</t>
        </is>
      </c>
      <c r="E3897" s="2" t="inlineStr">
        <is>
          <t>+ </t>
        </is>
      </c>
      <c r="F3897" s="2" t="inlineStr">
        <is>
          <t>+ </t>
        </is>
      </c>
      <c r="H3897" s="2">
        <v>419</v>
      </c>
      <c r="I3897" s="2" t="inlineStr">
        <is>
          <t>$</t>
        </is>
      </c>
      <c r="J3897" s="2">
        <f>HYPERLINK("https://app.astro.lead-studio.pro/product/45c46899-7a60-4883-b47a-30360b416faf")</f>
      </c>
    </row>
    <row r="3898" spans="1:10" customHeight="0">
      <c r="A3898" s="2" t="inlineStr">
        <is>
          <t>Ноутбуки</t>
        </is>
      </c>
      <c r="B3898" s="2" t="inlineStr">
        <is>
          <t>LENOVO</t>
        </is>
      </c>
      <c r="C3898" s="2" t="inlineStr">
        <is>
          <t>82XQ0007RK</t>
        </is>
      </c>
      <c r="D3898" s="2" t="inlineStr">
        <is>
          <t>Ноутбук Lenovo IdeaPad Slim 3 15AMN8 Ryzen 5 7520U 8Gb SSD512Gb AMD Radeon 610M 15.6" TN FHD (1920x1080) без ОС grey WiFi BT Cam (82XQ0007RK)</t>
        </is>
      </c>
      <c r="E3898" s="2" t="inlineStr">
        <is>
          <t>+++ </t>
        </is>
      </c>
      <c r="F3898" s="2" t="inlineStr">
        <is>
          <t>+++ </t>
        </is>
      </c>
      <c r="H3898" s="2">
        <v>438</v>
      </c>
      <c r="I3898" s="2" t="inlineStr">
        <is>
          <t>$</t>
        </is>
      </c>
      <c r="J3898" s="2">
        <f>HYPERLINK("https://app.astro.lead-studio.pro/product/5920414f-3d16-4400-adb3-51d4c20f3d70")</f>
      </c>
    </row>
    <row r="3899" spans="1:10" customHeight="0">
      <c r="A3899" s="2" t="inlineStr">
        <is>
          <t>Ноутбуки</t>
        </is>
      </c>
      <c r="B3899" s="2" t="inlineStr">
        <is>
          <t>LENOVO</t>
        </is>
      </c>
      <c r="C3899" s="2" t="inlineStr">
        <is>
          <t>83ER00H0UE</t>
        </is>
      </c>
      <c r="D3899" s="2" t="inlineStr">
        <is>
          <t>Ноутбук Lenovo IdeaPad Slim 3 15IAH8 Core i5 12450H 16Gb SSD512Gb Intel UHD Graphics 15.6" IPS FHD (1920x1080) без ОС grey WiFi BT Cam (83ER00H0UE)</t>
        </is>
      </c>
      <c r="E3899" s="2" t="inlineStr">
        <is>
          <t>+ </t>
        </is>
      </c>
      <c r="F3899" s="2" t="inlineStr">
        <is>
          <t>+ </t>
        </is>
      </c>
      <c r="H3899" s="2">
        <v>675</v>
      </c>
      <c r="I3899" s="2" t="inlineStr">
        <is>
          <t>$</t>
        </is>
      </c>
      <c r="J3899" s="2">
        <f>HYPERLINK("https://app.astro.lead-studio.pro/product/18e6dd13-b98c-4901-9d01-e1c696704eb1")</f>
      </c>
    </row>
    <row r="3900" spans="1:10" customHeight="0">
      <c r="A3900" s="2" t="inlineStr">
        <is>
          <t>Ноутбуки</t>
        </is>
      </c>
      <c r="B3900" s="2" t="inlineStr">
        <is>
          <t>LENOVO</t>
        </is>
      </c>
      <c r="C3900" s="2" t="inlineStr">
        <is>
          <t>83ER00D3RK</t>
        </is>
      </c>
      <c r="D3900" s="2" t="inlineStr">
        <is>
          <t>Ноутбук Lenovo IdeaPad Slim 3 15IAH8 Core i5 12450H 8Gb SSD512Gb Intel UHD Graphics 15.6" IPS FHD (1920x1080) noOS grey WiFi BT Cam (83ER00D3RK)</t>
        </is>
      </c>
      <c r="E3900" s="2" t="inlineStr">
        <is>
          <t>+++ </t>
        </is>
      </c>
      <c r="F3900" s="2" t="inlineStr">
        <is>
          <t>+++ </t>
        </is>
      </c>
      <c r="H3900" s="2">
        <v>515</v>
      </c>
      <c r="I3900" s="2" t="inlineStr">
        <is>
          <t>$</t>
        </is>
      </c>
      <c r="J3900" s="2">
        <f>HYPERLINK("https://app.astro.lead-studio.pro/product/eda26137-835d-47f9-a274-78dba86b5d38")</f>
      </c>
    </row>
    <row r="3901" spans="1:10" customHeight="0">
      <c r="A3901" s="2" t="inlineStr">
        <is>
          <t>Ноутбуки</t>
        </is>
      </c>
      <c r="B3901" s="2" t="inlineStr">
        <is>
          <t>LENOVO</t>
        </is>
      </c>
      <c r="C3901" s="2" t="inlineStr">
        <is>
          <t>83ER00FYRK</t>
        </is>
      </c>
      <c r="D3901" s="2" t="inlineStr">
        <is>
          <t>Ноутбук Lenovo IdeaPad Slim 3 15IAH8 Core i5 12450H 8Gb SSD512Gb Intel UHD Graphics 15.6" IPS FHD (1920x1080) noOS grey WiFi BT Cam (83ER00FYRK)</t>
        </is>
      </c>
      <c r="E3901" s="2" t="inlineStr">
        <is>
          <t>++ </t>
        </is>
      </c>
      <c r="F3901" s="2" t="inlineStr">
        <is>
          <t>++ </t>
        </is>
      </c>
      <c r="H3901" s="2">
        <v>514</v>
      </c>
      <c r="I3901" s="2" t="inlineStr">
        <is>
          <t>$</t>
        </is>
      </c>
      <c r="J3901" s="2">
        <f>HYPERLINK("https://app.astro.lead-studio.pro/product/bef52d25-311a-4103-99b5-2ec83a71861c")</f>
      </c>
    </row>
    <row r="3902" spans="1:10" customHeight="0">
      <c r="A3902" s="2" t="inlineStr">
        <is>
          <t>Ноутбуки</t>
        </is>
      </c>
      <c r="B3902" s="2" t="inlineStr">
        <is>
          <t>LENOVO</t>
        </is>
      </c>
      <c r="C3902" s="2" t="inlineStr">
        <is>
          <t>83EM00DBPS</t>
        </is>
      </c>
      <c r="D3902" s="2" t="inlineStr">
        <is>
          <t>Ноутбук Lenovo IdeaPad Slim 3 15IRH8 Core i5 13420H 16Gb SSD512Gb Intel UHD Graphics 15.6" IPS FHD (1920x1080) noOS grey WiFi BT Cam (83EM00DBPS)</t>
        </is>
      </c>
      <c r="E3902" s="2" t="inlineStr">
        <is>
          <t>+++ </t>
        </is>
      </c>
      <c r="F3902" s="2" t="inlineStr">
        <is>
          <t>+++ </t>
        </is>
      </c>
      <c r="H3902" s="2">
        <v>622</v>
      </c>
      <c r="I3902" s="2" t="inlineStr">
        <is>
          <t>$</t>
        </is>
      </c>
      <c r="J3902" s="2">
        <f>HYPERLINK("https://app.astro.lead-studio.pro/product/a7626d48-4867-40f5-a729-81fbed839dc6")</f>
      </c>
    </row>
    <row r="3903" spans="1:10" customHeight="0">
      <c r="A3903" s="2" t="inlineStr">
        <is>
          <t>Ноутбуки</t>
        </is>
      </c>
      <c r="B3903" s="2" t="inlineStr">
        <is>
          <t>LENOVO</t>
        </is>
      </c>
      <c r="C3903" s="2" t="inlineStr">
        <is>
          <t>83EM00C1RK</t>
        </is>
      </c>
      <c r="D3903" s="2" t="inlineStr">
        <is>
          <t>Ноутбук Lenovo IdeaPad Slim 3 15IRH8 Core i7 13620H 16Gb SSD512Gb Intel UHD Graphics 15.6" IPS FHD (1920x1080) без ОС grey WiFi BT Cam (83EM00C1RK)</t>
        </is>
      </c>
      <c r="E3903" s="2" t="inlineStr">
        <is>
          <t>+ </t>
        </is>
      </c>
      <c r="F3903" s="2" t="inlineStr">
        <is>
          <t>+ </t>
        </is>
      </c>
      <c r="H3903" s="2">
        <v>778</v>
      </c>
      <c r="I3903" s="2" t="inlineStr">
        <is>
          <t>$</t>
        </is>
      </c>
      <c r="J3903" s="2">
        <f>HYPERLINK("https://app.astro.lead-studio.pro/product/fb929c86-3bf1-465f-8b35-4ba714978d01")</f>
      </c>
    </row>
    <row r="3904" spans="1:10" customHeight="0">
      <c r="A3904" s="2" t="inlineStr">
        <is>
          <t>Ноутбуки</t>
        </is>
      </c>
      <c r="B3904" s="2" t="inlineStr">
        <is>
          <t>LENOVO</t>
        </is>
      </c>
      <c r="C3904" s="2" t="inlineStr">
        <is>
          <t>82X700BWPS</t>
        </is>
      </c>
      <c r="D3904" s="2" t="inlineStr">
        <is>
          <t>Ноутбук Lenovo IdeaPad Slim 3 15IRU8 Core i3 1305U 8Gb SSD256Gb Intel UHD Graphics 15.6" TN FHD (1920x1080) без ОС grey WiFi BT Cam (82X700BWPS)</t>
        </is>
      </c>
      <c r="E3904" s="2" t="inlineStr">
        <is>
          <t>+++ </t>
        </is>
      </c>
      <c r="F3904" s="2" t="inlineStr">
        <is>
          <t>+++ </t>
        </is>
      </c>
      <c r="H3904" s="2">
        <v>425</v>
      </c>
      <c r="I3904" s="2" t="inlineStr">
        <is>
          <t>$</t>
        </is>
      </c>
      <c r="J3904" s="2">
        <f>HYPERLINK("https://app.astro.lead-studio.pro/product/92981614-5361-4217-8075-817019844921")</f>
      </c>
    </row>
    <row r="3905" spans="1:10" customHeight="0">
      <c r="A3905" s="2" t="inlineStr">
        <is>
          <t>Ноутбуки</t>
        </is>
      </c>
      <c r="B3905" s="2" t="inlineStr">
        <is>
          <t>LENOVO</t>
        </is>
      </c>
      <c r="C3905" s="2" t="inlineStr">
        <is>
          <t>82X7003NRK</t>
        </is>
      </c>
      <c r="D3905" s="2" t="inlineStr">
        <is>
          <t>Ноутбук Lenovo IdeaPad Slim 3 15IRU8 Core i5 1335U 8Gb SSD512Gb Intel Iris Xe graphics 15.6" IPS FHD (1920x1080) без ОС grey WiFi BT Cam (82X7003NRK)</t>
        </is>
      </c>
      <c r="E3905" s="2" t="inlineStr">
        <is>
          <t>+ </t>
        </is>
      </c>
      <c r="F3905" s="2" t="inlineStr">
        <is>
          <t>+ </t>
        </is>
      </c>
      <c r="H3905" s="2">
        <v>552</v>
      </c>
      <c r="I3905" s="2" t="inlineStr">
        <is>
          <t>$</t>
        </is>
      </c>
      <c r="J3905" s="2">
        <f>HYPERLINK("https://app.astro.lead-studio.pro/product/b718a9f8-84de-4427-84a3-b51acc1c49cb")</f>
      </c>
    </row>
    <row r="3906" spans="1:10" customHeight="0">
      <c r="A3906" s="2" t="inlineStr">
        <is>
          <t>Ноутбуки</t>
        </is>
      </c>
      <c r="B3906" s="2" t="inlineStr">
        <is>
          <t>LENOVO</t>
        </is>
      </c>
      <c r="C3906" s="2" t="inlineStr">
        <is>
          <t>82XR008NRK</t>
        </is>
      </c>
      <c r="D3906" s="2" t="inlineStr">
        <is>
          <t>Ноутбук Lenovo IdeaPad Slim 3 16ABR8 Ryzen 7 7730U 16Gb SSD512Gb AMD Radeon 16" IPS WUXGA (1920x1200) без ОС grey WiFi BT Cam (82XR008NRK)</t>
        </is>
      </c>
      <c r="E3906" s="2" t="inlineStr">
        <is>
          <t>+++ </t>
        </is>
      </c>
      <c r="F3906" s="2" t="inlineStr">
        <is>
          <t>+++ </t>
        </is>
      </c>
      <c r="H3906" s="2">
        <v>623</v>
      </c>
      <c r="I3906" s="2" t="inlineStr">
        <is>
          <t>$</t>
        </is>
      </c>
      <c r="J3906" s="2">
        <f>HYPERLINK("https://app.astro.lead-studio.pro/product/6eabcef0-a44f-4114-a892-9390215ebf0b")</f>
      </c>
    </row>
    <row r="3907" spans="1:10" customHeight="0">
      <c r="A3907" s="2" t="inlineStr">
        <is>
          <t>Ноутбуки</t>
        </is>
      </c>
      <c r="B3907" s="2" t="inlineStr">
        <is>
          <t>LENOVO</t>
        </is>
      </c>
      <c r="C3907" s="2" t="inlineStr">
        <is>
          <t>83ES002VRK</t>
        </is>
      </c>
      <c r="D3907" s="2" t="inlineStr">
        <is>
          <t>Ноутбук Lenovo IdeaPad Slim 3 16IAH8 Core i5 12450H 16Gb SSD1Tb Intel UHD Graphics 16" IPS WUXGA (1920x1200) без ОС grey WiFi BT Cam (83ES002VRK)</t>
        </is>
      </c>
      <c r="E3907" s="2" t="inlineStr">
        <is>
          <t>+ </t>
        </is>
      </c>
      <c r="F3907" s="2" t="inlineStr">
        <is>
          <t>+ </t>
        </is>
      </c>
      <c r="H3907" s="2">
        <v>698</v>
      </c>
      <c r="I3907" s="2" t="inlineStr">
        <is>
          <t>$</t>
        </is>
      </c>
      <c r="J3907" s="2">
        <f>HYPERLINK("https://app.astro.lead-studio.pro/product/2c52b559-15c1-4e48-adfc-a49f069cf28c")</f>
      </c>
    </row>
    <row r="3908" spans="1:10" customHeight="0">
      <c r="A3908" s="2" t="inlineStr">
        <is>
          <t>Ноутбуки</t>
        </is>
      </c>
      <c r="B3908" s="2" t="inlineStr">
        <is>
          <t>LENOVO</t>
        </is>
      </c>
      <c r="C3908" s="2" t="inlineStr">
        <is>
          <t>83ES002WRK</t>
        </is>
      </c>
      <c r="D3908" s="2" t="inlineStr">
        <is>
          <t>Ноутбук Lenovo IdeaPad Slim 3 16IAH8 Core i5 12450H 16Gb SSD512Gb Intel UHD Graphics 16" IPS WUXGA (1920x1200) без ОС grey WiFi BT Cam (83ES002WRK)</t>
        </is>
      </c>
      <c r="E3908" s="2" t="inlineStr">
        <is>
          <t>+++ </t>
        </is>
      </c>
      <c r="F3908" s="2" t="inlineStr">
        <is>
          <t>+++ </t>
        </is>
      </c>
      <c r="H3908" s="2">
        <v>621</v>
      </c>
      <c r="I3908" s="2" t="inlineStr">
        <is>
          <t>$</t>
        </is>
      </c>
      <c r="J3908" s="2">
        <f>HYPERLINK("https://app.astro.lead-studio.pro/product/98bef055-e5a4-432e-bc3c-913fa34ee5ea")</f>
      </c>
    </row>
    <row r="3909" spans="1:10" customHeight="0">
      <c r="A3909" s="2" t="inlineStr">
        <is>
          <t>Ноутбуки</t>
        </is>
      </c>
      <c r="B3909" s="2" t="inlineStr">
        <is>
          <t>LENOVO</t>
        </is>
      </c>
      <c r="C3909" s="2" t="inlineStr">
        <is>
          <t>83DB001CRK</t>
        </is>
      </c>
      <c r="D3909" s="2" t="inlineStr">
        <is>
          <t>Ноутбук Lenovo IdeaPad Slim 5 14AHP9 Ryzen 5 8645HS 16Gb SSD512Gb AMD Radeon 760M 14" OLED WUXGA (1920x1200) без ОС grey WiFi BT Cam (83DB001CRK)</t>
        </is>
      </c>
      <c r="E3909" s="2" t="inlineStr">
        <is>
          <t>+ </t>
        </is>
      </c>
      <c r="F3909" s="2" t="inlineStr">
        <is>
          <t>+ </t>
        </is>
      </c>
      <c r="H3909" s="2">
        <v>895</v>
      </c>
      <c r="I3909" s="2" t="inlineStr">
        <is>
          <t>$</t>
        </is>
      </c>
      <c r="J3909" s="2">
        <f>HYPERLINK("https://app.astro.lead-studio.pro/product/20323f24-7d80-47ab-84da-38b7950e6ea3")</f>
      </c>
    </row>
    <row r="3910" spans="1:10" customHeight="0">
      <c r="A3910" s="2" t="inlineStr">
        <is>
          <t>Ноутбуки</t>
        </is>
      </c>
      <c r="B3910" s="2" t="inlineStr">
        <is>
          <t>LENOVO</t>
        </is>
      </c>
      <c r="C3910" s="2" t="inlineStr">
        <is>
          <t>83DA004HRK</t>
        </is>
      </c>
      <c r="D3910" s="2" t="inlineStr">
        <is>
          <t>Ноутбук Lenovo IdeaPad Slim 5 14IMH9 Core Ultra 5 125H 16Gb SSD1Tb Intel Arc 14" OLED WUXGA (1920x1200) без ОС grey WiFi BT Cam (83DA004HRK)</t>
        </is>
      </c>
      <c r="E3910" s="2" t="inlineStr">
        <is>
          <t>+ </t>
        </is>
      </c>
      <c r="F3910" s="2" t="inlineStr">
        <is>
          <t>+ </t>
        </is>
      </c>
      <c r="H3910" s="2">
        <v>1002</v>
      </c>
      <c r="I3910" s="2" t="inlineStr">
        <is>
          <t>$</t>
        </is>
      </c>
      <c r="J3910" s="2">
        <f>HYPERLINK("https://app.astro.lead-studio.pro/product/123e71b8-3498-4dcd-9b5e-b88b697b15ff")</f>
      </c>
    </row>
    <row r="3911" spans="1:10" customHeight="0">
      <c r="A3911" s="2" t="inlineStr">
        <is>
          <t>Ноутбуки</t>
        </is>
      </c>
      <c r="B3911" s="2" t="inlineStr">
        <is>
          <t>LENOVO</t>
        </is>
      </c>
      <c r="C3911" s="2" t="inlineStr">
        <is>
          <t>83DA004JRK</t>
        </is>
      </c>
      <c r="D3911" s="2" t="inlineStr">
        <is>
          <t>Ноутбук Lenovo IdeaPad Slim 5 14IMH9 Core Ultra 7 155H 16Gb SSD1Tb Intel Arc 14" OLED WUXGA (1920x1200) без ОС grey WiFi BT Cam (83DA004JRK)</t>
        </is>
      </c>
      <c r="E3911" s="2" t="inlineStr">
        <is>
          <t>+ </t>
        </is>
      </c>
      <c r="F3911" s="2" t="inlineStr">
        <is>
          <t>+ </t>
        </is>
      </c>
      <c r="H3911" s="2">
        <v>1086</v>
      </c>
      <c r="I3911" s="2" t="inlineStr">
        <is>
          <t>$</t>
        </is>
      </c>
      <c r="J3911" s="2">
        <f>HYPERLINK("https://app.astro.lead-studio.pro/product/f435fc33-fe46-4a3a-8749-bf7b8e8ce482")</f>
      </c>
    </row>
    <row r="3912" spans="1:10" customHeight="0">
      <c r="A3912" s="2" t="inlineStr">
        <is>
          <t>Ноутбуки</t>
        </is>
      </c>
      <c r="B3912" s="2" t="inlineStr">
        <is>
          <t>LENOVO</t>
        </is>
      </c>
      <c r="C3912" s="2" t="inlineStr">
        <is>
          <t>82XG0096RK</t>
        </is>
      </c>
      <c r="D3912" s="2" t="inlineStr">
        <is>
          <t>Ноутбук Lenovo IdeaPad Slim 5 16ABR8 Ryzen 5 7430U 16Gb SSD512Gb AMD Radeon 16" IPS WUXGA (1920x1200) без ОС grey WiFi BT Cam (82XG0096RK)</t>
        </is>
      </c>
      <c r="E3912" s="2" t="inlineStr">
        <is>
          <t>++ </t>
        </is>
      </c>
      <c r="F3912" s="2" t="inlineStr">
        <is>
          <t>++ </t>
        </is>
      </c>
      <c r="H3912" s="2">
        <v>675</v>
      </c>
      <c r="I3912" s="2" t="inlineStr">
        <is>
          <t>$</t>
        </is>
      </c>
      <c r="J3912" s="2">
        <f>HYPERLINK("https://app.astro.lead-studio.pro/product/5b7f5e47-b544-480b-a9cb-6500e2689a75")</f>
      </c>
    </row>
    <row r="3913" spans="1:10" customHeight="0">
      <c r="A3913" s="2" t="inlineStr">
        <is>
          <t>Ноутбуки</t>
        </is>
      </c>
      <c r="B3913" s="2" t="inlineStr">
        <is>
          <t>LENOVO</t>
        </is>
      </c>
      <c r="C3913" s="2" t="inlineStr">
        <is>
          <t>82XG0098RK</t>
        </is>
      </c>
      <c r="D3913" s="2" t="inlineStr">
        <is>
          <t>Ноутбук Lenovo IdeaPad Slim 5 16ABR8 Ryzen 7 7730U 16Gb SSD1Tb AMD Radeon 16" IPS WUXGA (1920x1200) без ОС grey WiFi BT Cam (82XG0098RK)</t>
        </is>
      </c>
      <c r="E3913" s="2" t="inlineStr">
        <is>
          <t>+ </t>
        </is>
      </c>
      <c r="F3913" s="2" t="inlineStr">
        <is>
          <t>+ </t>
        </is>
      </c>
      <c r="H3913" s="2">
        <v>845</v>
      </c>
      <c r="I3913" s="2" t="inlineStr">
        <is>
          <t>$</t>
        </is>
      </c>
      <c r="J3913" s="2">
        <f>HYPERLINK("https://app.astro.lead-studio.pro/product/562f0291-a90f-432d-8354-9e0cc66a6aa0")</f>
      </c>
    </row>
    <row r="3914" spans="1:10" customHeight="0">
      <c r="A3914" s="2" t="inlineStr">
        <is>
          <t>Ноутбуки</t>
        </is>
      </c>
      <c r="B3914" s="2" t="inlineStr">
        <is>
          <t>LENOVO</t>
        </is>
      </c>
      <c r="C3914" s="2" t="inlineStr">
        <is>
          <t>82XG0097RK</t>
        </is>
      </c>
      <c r="D3914" s="2" t="inlineStr">
        <is>
          <t>Ноутбук Lenovo IdeaPad Slim 5 16ABR8 Ryzen 7 7730U 16Gb SSD512Gb AMD Radeon 16" IPS WUXGA (1920x1200) без ОС grey WiFi BT Cam (82XG0097RK)</t>
        </is>
      </c>
      <c r="E3914" s="2" t="inlineStr">
        <is>
          <t>++ </t>
        </is>
      </c>
      <c r="F3914" s="2" t="inlineStr">
        <is>
          <t>++ </t>
        </is>
      </c>
      <c r="H3914" s="2">
        <v>770</v>
      </c>
      <c r="I3914" s="2" t="inlineStr">
        <is>
          <t>$</t>
        </is>
      </c>
      <c r="J3914" s="2">
        <f>HYPERLINK("https://app.astro.lead-studio.pro/product/503f272e-583e-4c8b-98bf-39e278e4f083")</f>
      </c>
    </row>
    <row r="3915" spans="1:10" customHeight="0">
      <c r="A3915" s="2" t="inlineStr">
        <is>
          <t>Ноутбуки</t>
        </is>
      </c>
      <c r="B3915" s="2" t="inlineStr">
        <is>
          <t>LENOVO</t>
        </is>
      </c>
      <c r="C3915" s="2" t="inlineStr">
        <is>
          <t>83DD001XRK</t>
        </is>
      </c>
      <c r="D3915" s="2" t="inlineStr">
        <is>
          <t>Ноутбук Lenovo IdeaPad Slim 5 16AHP9 Ryzen 5 8645HS 16Gb SSD512Gb AMD Radeon 760M 16" OLED 2K (2048x1280) без ОС l.grey WiFi BT Cam (83DD001XRK)</t>
        </is>
      </c>
      <c r="E3915" s="2" t="inlineStr">
        <is>
          <t>+++ </t>
        </is>
      </c>
      <c r="F3915" s="2" t="inlineStr">
        <is>
          <t>+++ </t>
        </is>
      </c>
      <c r="H3915" s="2">
        <v>800</v>
      </c>
      <c r="I3915" s="2" t="inlineStr">
        <is>
          <t>$</t>
        </is>
      </c>
      <c r="J3915" s="2">
        <f>HYPERLINK("https://app.astro.lead-studio.pro/product/e33b4828-03b7-48a9-9c16-77a4e40e77f5")</f>
      </c>
    </row>
    <row r="3916" spans="1:10" customHeight="0">
      <c r="A3916" s="2" t="inlineStr">
        <is>
          <t>Ноутбуки</t>
        </is>
      </c>
      <c r="B3916" s="2" t="inlineStr">
        <is>
          <t>LENOVO</t>
        </is>
      </c>
      <c r="C3916" s="2" t="inlineStr">
        <is>
          <t>83BG006URK</t>
        </is>
      </c>
      <c r="D3916" s="2" t="inlineStr">
        <is>
          <t>Ноутбук Lenovo IdeaPad Slim 5 16IAH8 Core i5 12450H 16Gb SSD512Gb Intel UHD Graphics 16" IPS WUXGA (1920x1200) noOS grey WiFi BT Cam (83BG006URK)</t>
        </is>
      </c>
      <c r="E3916" s="2" t="inlineStr">
        <is>
          <t>++ </t>
        </is>
      </c>
      <c r="F3916" s="2" t="inlineStr">
        <is>
          <t>++ </t>
        </is>
      </c>
      <c r="H3916" s="2">
        <v>708</v>
      </c>
      <c r="I3916" s="2" t="inlineStr">
        <is>
          <t>$</t>
        </is>
      </c>
      <c r="J3916" s="2">
        <f>HYPERLINK("https://app.astro.lead-studio.pro/product/e2dd65c0-c9c7-4110-aa7b-55ed1525e33e")</f>
      </c>
    </row>
    <row r="3917" spans="1:10" customHeight="0">
      <c r="A3917" s="2" t="inlineStr">
        <is>
          <t>Ноутбуки</t>
        </is>
      </c>
      <c r="B3917" s="2" t="inlineStr">
        <is>
          <t>LENOVO</t>
        </is>
      </c>
      <c r="C3917" s="2" t="inlineStr">
        <is>
          <t>83DC004GRK</t>
        </is>
      </c>
      <c r="D3917" s="2" t="inlineStr">
        <is>
          <t>Ноутбук Lenovo IdeaPad Slim 5 16IMH9 Core Ultra 5 125H 16Gb SSD1Tb Intel Arc 16" OLED 2K (2048x1280) без ОС l.grey WiFi BT Cam (83DC004GRK)</t>
        </is>
      </c>
      <c r="E3917" s="2" t="inlineStr">
        <is>
          <t>+ </t>
        </is>
      </c>
      <c r="F3917" s="2" t="inlineStr">
        <is>
          <t>+ </t>
        </is>
      </c>
      <c r="H3917" s="2">
        <v>1096</v>
      </c>
      <c r="I3917" s="2" t="inlineStr">
        <is>
          <t>$</t>
        </is>
      </c>
      <c r="J3917" s="2">
        <f>HYPERLINK("https://app.astro.lead-studio.pro/product/ffcdf713-aafb-4f47-aebd-017b98c6ba8b")</f>
      </c>
    </row>
    <row r="3918" spans="1:10" customHeight="0">
      <c r="A3918" s="2" t="inlineStr">
        <is>
          <t>Ноутбуки</t>
        </is>
      </c>
      <c r="B3918" s="2" t="inlineStr">
        <is>
          <t>LENOVO</t>
        </is>
      </c>
      <c r="C3918" s="2" t="inlineStr">
        <is>
          <t>83DC004FRK</t>
        </is>
      </c>
      <c r="D3918" s="2" t="inlineStr">
        <is>
          <t>Ноутбук Lenovo IdeaPad Slim 5 16IMH9 Core Ultra 5 125H 16Gb SSD512Gb Intel Arc 16" OLED 2K (2048x1280) без ОС l.grey WiFi BT Cam (83DC004FRK)</t>
        </is>
      </c>
      <c r="E3918" s="2" t="inlineStr">
        <is>
          <t>+ </t>
        </is>
      </c>
      <c r="F3918" s="2" t="inlineStr">
        <is>
          <t>+ </t>
        </is>
      </c>
      <c r="H3918" s="2">
        <v>1068</v>
      </c>
      <c r="I3918" s="2" t="inlineStr">
        <is>
          <t>$</t>
        </is>
      </c>
      <c r="J3918" s="2">
        <f>HYPERLINK("https://app.astro.lead-studio.pro/product/94ead95e-b9a9-48f5-9ca6-749d1d1d7eb1")</f>
      </c>
    </row>
    <row r="3919" spans="1:10" customHeight="0">
      <c r="A3919" s="2" t="inlineStr">
        <is>
          <t>Ноутбуки</t>
        </is>
      </c>
      <c r="B3919" s="2" t="inlineStr">
        <is>
          <t>LENOVO</t>
        </is>
      </c>
      <c r="C3919" s="2" t="inlineStr">
        <is>
          <t>83DC004HRK</t>
        </is>
      </c>
      <c r="D3919" s="2" t="inlineStr">
        <is>
          <t>Ноутбук Lenovo IdeaPad Slim 5 16IMH9 Core Ultra 7 155H 16Gb SSD1Tb Intel Arc 16" OLED 2K (2048x1280) без ОС l.grey WiFi BT Cam (83DC004HRK)</t>
        </is>
      </c>
      <c r="E3919" s="2" t="inlineStr">
        <is>
          <t>+ </t>
        </is>
      </c>
      <c r="F3919" s="2" t="inlineStr">
        <is>
          <t>+ </t>
        </is>
      </c>
      <c r="H3919" s="2">
        <v>1180</v>
      </c>
      <c r="I3919" s="2" t="inlineStr">
        <is>
          <t>$</t>
        </is>
      </c>
      <c r="J3919" s="2">
        <f>HYPERLINK("https://app.astro.lead-studio.pro/product/f3da9dcd-b453-46ad-87b7-e1c07c20b7d9")</f>
      </c>
    </row>
    <row r="3920" spans="1:10" customHeight="0">
      <c r="A3920" s="2" t="inlineStr">
        <is>
          <t>Ноутбуки</t>
        </is>
      </c>
      <c r="B3920" s="2" t="inlineStr">
        <is>
          <t>LENOVO</t>
        </is>
      </c>
      <c r="C3920" s="2" t="inlineStr">
        <is>
          <t>83DC004JRK</t>
        </is>
      </c>
      <c r="D3920" s="2" t="inlineStr">
        <is>
          <t>Ноутбук Lenovo IdeaPad Slim 5 16IMH9 Core Ultra 7 155H 32Gb SSD1Tb Intel Arc 16" OLED 2K (2048x1280) без ОС l.grey WiFi BT Cam (83DC004JRK)</t>
        </is>
      </c>
      <c r="E3920" s="2" t="inlineStr">
        <is>
          <t>+ </t>
        </is>
      </c>
      <c r="F3920" s="2" t="inlineStr">
        <is>
          <t>+ </t>
        </is>
      </c>
      <c r="H3920" s="2">
        <v>1418</v>
      </c>
      <c r="I3920" s="2" t="inlineStr">
        <is>
          <t>$</t>
        </is>
      </c>
      <c r="J3920" s="2">
        <f>HYPERLINK("https://app.astro.lead-studio.pro/product/d50ace60-79d8-4d80-a78c-9bb956a13624")</f>
      </c>
    </row>
    <row r="3921" spans="1:10" customHeight="0">
      <c r="A3921" s="2" t="inlineStr">
        <is>
          <t>Ноутбуки</t>
        </is>
      </c>
      <c r="B3921" s="2" t="inlineStr">
        <is>
          <t>LENOVO</t>
        </is>
      </c>
      <c r="C3921" s="2" t="inlineStr">
        <is>
          <t>82WM00FWRK</t>
        </is>
      </c>
      <c r="D3921" s="2" t="inlineStr">
        <is>
          <t>Ноутбук Lenovo Legion Pro 5 16ARX8 Ryzen 5 7645HX 16Gb SSD1Tb NVIDIA GeForce RTX4050 6Gb 16" IPS WQXGA (2560x1600) без ОС dk.grey WiFi BT Cam (82WM00FWRK)</t>
        </is>
      </c>
      <c r="E3921" s="2" t="inlineStr">
        <is>
          <t>+ </t>
        </is>
      </c>
      <c r="F3921" s="2" t="inlineStr">
        <is>
          <t>+ </t>
        </is>
      </c>
      <c r="H3921" s="2">
        <v>1716</v>
      </c>
      <c r="I3921" s="2" t="inlineStr">
        <is>
          <t>$</t>
        </is>
      </c>
      <c r="J3921" s="2">
        <f>HYPERLINK("https://app.astro.lead-studio.pro/product/650f043c-9116-449f-a747-55074a81c280")</f>
      </c>
    </row>
    <row r="3922" spans="1:10" customHeight="0">
      <c r="A3922" s="2" t="inlineStr">
        <is>
          <t>Ноутбуки</t>
        </is>
      </c>
      <c r="B3922" s="2" t="inlineStr">
        <is>
          <t>LENOVO</t>
        </is>
      </c>
      <c r="C3922" s="2" t="inlineStr">
        <is>
          <t>83DF00E7RK</t>
        </is>
      </c>
      <c r="D3922" s="2" t="inlineStr">
        <is>
          <t>Ноутбук Lenovo Legion Pro 5 16IRX9 Core i5 14500HX 16Gb SSD1Tb NVIDIA GeForce RTX4050 6Gb 16" IPS WQXGA (2560x1600) без ОС dk.grey WiFi BT Cam (83DF00E7RK)</t>
        </is>
      </c>
      <c r="E3922" s="2" t="inlineStr">
        <is>
          <t>+ </t>
        </is>
      </c>
      <c r="F3922" s="2" t="inlineStr">
        <is>
          <t>+ </t>
        </is>
      </c>
      <c r="H3922" s="2">
        <v>1729</v>
      </c>
      <c r="I3922" s="2" t="inlineStr">
        <is>
          <t>$</t>
        </is>
      </c>
      <c r="J3922" s="2">
        <f>HYPERLINK("https://app.astro.lead-studio.pro/product/533d642a-600a-426b-8ba8-9460de16c07e")</f>
      </c>
    </row>
    <row r="3923" spans="1:10" customHeight="0">
      <c r="A3923" s="2" t="inlineStr">
        <is>
          <t>Ноутбуки</t>
        </is>
      </c>
      <c r="B3923" s="2" t="inlineStr">
        <is>
          <t>LENOVO</t>
        </is>
      </c>
      <c r="C3923" s="2" t="inlineStr">
        <is>
          <t>83LK005GUE</t>
        </is>
      </c>
      <c r="D3923" s="2" t="inlineStr">
        <is>
          <t>Ноутбук Lenovo LOQ 15IAX9E Core i5 12450HX 16Gb SSD512Gb NVIDIA GeForce RTX 2050 4Gb 15.6" IPS FHD (1920x1080) без ОС grey WiFi BT Cam (83LK005GUE)</t>
        </is>
      </c>
      <c r="E3923" s="2" t="inlineStr">
        <is>
          <t>+++ </t>
        </is>
      </c>
      <c r="F3923" s="2" t="inlineStr">
        <is>
          <t>+++ </t>
        </is>
      </c>
      <c r="H3923" s="2">
        <v>846</v>
      </c>
      <c r="I3923" s="2" t="inlineStr">
        <is>
          <t>$</t>
        </is>
      </c>
      <c r="J3923" s="2">
        <f>HYPERLINK("https://app.astro.lead-studio.pro/product/975e2e9b-570d-442b-81bd-0939b5abb47f")</f>
      </c>
    </row>
    <row r="3924" spans="1:10" customHeight="0">
      <c r="A3924" s="2" t="inlineStr">
        <is>
          <t>Ноутбуки</t>
        </is>
      </c>
      <c r="B3924" s="2" t="inlineStr">
        <is>
          <t>LENOVO</t>
        </is>
      </c>
      <c r="C3924" s="2" t="inlineStr">
        <is>
          <t>83LK005HUE</t>
        </is>
      </c>
      <c r="D3924" s="2" t="inlineStr">
        <is>
          <t>Ноутбук Lenovo LOQ 15IAX9E Core i5 12450HX 16Gb SSD512Gb NVIDIA GeForce RTX 3050 6Gb 15.6" IPS FHD (1920x1080) без ОС grey WiFi BT Cam (83LK005HUE)</t>
        </is>
      </c>
      <c r="E3924" s="2" t="inlineStr">
        <is>
          <t>+++ </t>
        </is>
      </c>
      <c r="F3924" s="2" t="inlineStr">
        <is>
          <t>+++ </t>
        </is>
      </c>
      <c r="H3924" s="2">
        <v>869</v>
      </c>
      <c r="I3924" s="2" t="inlineStr">
        <is>
          <t>$</t>
        </is>
      </c>
      <c r="J3924" s="2">
        <f>HYPERLINK("https://app.astro.lead-studio.pro/product/abae2c11-0f0c-4ab2-b2b6-6133deae5bb3")</f>
      </c>
    </row>
    <row r="3925" spans="1:10" customHeight="0">
      <c r="A3925" s="2" t="inlineStr">
        <is>
          <t>Ноутбуки</t>
        </is>
      </c>
      <c r="B3925" s="2" t="inlineStr">
        <is>
          <t>LENOVO</t>
        </is>
      </c>
      <c r="C3925" s="2" t="inlineStr">
        <is>
          <t>21KJ000KUE</t>
        </is>
      </c>
      <c r="D3925" s="2" t="inlineStr">
        <is>
          <t>Ноутбук Lenovo Thinkbook 14 G6 ABP Ryzen 3 7330U 8Gb SSD256Gb AMD Radeon 14" IPS WUXGA (1920x1200) без ОС grey WiFi BT Cam (21KJ000KUE)</t>
        </is>
      </c>
      <c r="E3925" s="2" t="inlineStr">
        <is>
          <t>++ </t>
        </is>
      </c>
      <c r="F3925" s="2" t="inlineStr">
        <is>
          <t>++ </t>
        </is>
      </c>
      <c r="H3925" s="2">
        <v>704</v>
      </c>
      <c r="I3925" s="2" t="inlineStr">
        <is>
          <t>$</t>
        </is>
      </c>
      <c r="J3925" s="2">
        <f>HYPERLINK("https://app.astro.lead-studio.pro/product/cdc52fc2-db33-415a-ab5c-dcb931479e20")</f>
      </c>
    </row>
    <row r="3926" spans="1:10" customHeight="0">
      <c r="A3926" s="2" t="inlineStr">
        <is>
          <t>Ноутбуки</t>
        </is>
      </c>
      <c r="B3926" s="2" t="inlineStr">
        <is>
          <t>LENOVO</t>
        </is>
      </c>
      <c r="C3926" s="2" t="inlineStr">
        <is>
          <t>21KJ008VUE</t>
        </is>
      </c>
      <c r="D3926" s="2" t="inlineStr">
        <is>
          <t>Ноутбук Lenovo Thinkbook 14 G6 ABP Ryzen 5 7430U 16Gb SSD512Gb AMD Radeon 14" IPS WUXGA (1920x1200) noOS grey WiFi BT Cam (21KJ008VUE)</t>
        </is>
      </c>
      <c r="E3926" s="2" t="inlineStr">
        <is>
          <t>+ </t>
        </is>
      </c>
      <c r="F3926" s="2" t="inlineStr">
        <is>
          <t>+ </t>
        </is>
      </c>
      <c r="H3926" s="2">
        <v>794</v>
      </c>
      <c r="I3926" s="2" t="inlineStr">
        <is>
          <t>$</t>
        </is>
      </c>
      <c r="J3926" s="2">
        <f>HYPERLINK("https://app.astro.lead-studio.pro/product/3772d8f4-3133-4b89-b6b7-9ffee3b905ff")</f>
      </c>
    </row>
    <row r="3927" spans="1:10" customHeight="0">
      <c r="A3927" s="2" t="inlineStr">
        <is>
          <t>Ноутбуки</t>
        </is>
      </c>
      <c r="B3927" s="2" t="inlineStr">
        <is>
          <t>LENOVO</t>
        </is>
      </c>
      <c r="C3927" s="2" t="inlineStr">
        <is>
          <t>21KG00T2EV</t>
        </is>
      </c>
      <c r="D3927" s="2" t="inlineStr">
        <is>
          <t>Ноутбук Lenovo Thinkbook 14 G6 IRL Core i5 13420H 8Gb SSD512Gb Intel UHD Graphics 14" IPS WUXGA (1920x1200) без ОС grey WiFi BT Cam (21KG00T2EV)</t>
        </is>
      </c>
      <c r="E3927" s="2" t="inlineStr">
        <is>
          <t>+ </t>
        </is>
      </c>
      <c r="F3927" s="2" t="inlineStr">
        <is>
          <t>+ </t>
        </is>
      </c>
      <c r="H3927" s="2">
        <v>863</v>
      </c>
      <c r="I3927" s="2" t="inlineStr">
        <is>
          <t>$</t>
        </is>
      </c>
      <c r="J3927" s="2">
        <f>HYPERLINK("https://app.astro.lead-studio.pro/product/3302fbe9-604e-4ec9-af43-dbc7f6bbd478")</f>
      </c>
    </row>
    <row r="3928" spans="1:10" customHeight="0">
      <c r="A3928" s="2" t="inlineStr">
        <is>
          <t>Ноутбуки</t>
        </is>
      </c>
      <c r="B3928" s="2" t="inlineStr">
        <is>
          <t>LENOVO</t>
        </is>
      </c>
      <c r="C3928" s="2" t="inlineStr">
        <is>
          <t>21KG00U0AK</t>
        </is>
      </c>
      <c r="D3928" s="2" t="inlineStr">
        <is>
          <t>Ноутбук Lenovo Thinkbook 14 G6 IRL Core i5 13420H 8Gb SSD512Gb Intel UHD Graphics 14" IPS WUXGA (1920x1200) без ОС grey WiFi BT Cam Bag (21KG00U0AK)</t>
        </is>
      </c>
      <c r="E3928" s="2" t="inlineStr">
        <is>
          <t>++ </t>
        </is>
      </c>
      <c r="F3928" s="2" t="inlineStr">
        <is>
          <t>++ </t>
        </is>
      </c>
      <c r="H3928" s="2">
        <v>870</v>
      </c>
      <c r="I3928" s="2" t="inlineStr">
        <is>
          <t>$</t>
        </is>
      </c>
      <c r="J3928" s="2">
        <f>HYPERLINK("https://app.astro.lead-studio.pro/product/b7ac0e4e-5ec2-40ff-a851-b63c766a4dfa")</f>
      </c>
    </row>
    <row r="3929" spans="1:10" customHeight="0">
      <c r="A3929" s="2" t="inlineStr">
        <is>
          <t>Ноутбуки</t>
        </is>
      </c>
      <c r="B3929" s="2" t="inlineStr">
        <is>
          <t>LENOVO</t>
        </is>
      </c>
      <c r="C3929" s="2" t="inlineStr">
        <is>
          <t>21KG000FUS</t>
        </is>
      </c>
      <c r="D3929" s="2" t="inlineStr">
        <is>
          <t>Ноутбук Lenovo Thinkbook 14 G6 IRL Core i7 1355U 16Gb SSD512Gb Intel Iris Xe graphics 14" IPS Touch WUXGA (1920x1200) Windows 11 Pro 64 grey WiFi BT Cam (21KG000FUS)</t>
        </is>
      </c>
      <c r="E3929" s="2" t="inlineStr">
        <is>
          <t>+ </t>
        </is>
      </c>
      <c r="F3929" s="2" t="inlineStr">
        <is>
          <t>+ </t>
        </is>
      </c>
      <c r="H3929" s="2">
        <v>1231</v>
      </c>
      <c r="I3929" s="2" t="inlineStr">
        <is>
          <t>$</t>
        </is>
      </c>
      <c r="J3929" s="2">
        <f>HYPERLINK("https://app.astro.lead-studio.pro/product/ac36acfa-73e4-4117-8f14-2624fa44ac5b")</f>
      </c>
    </row>
    <row r="3930" spans="1:10" customHeight="0">
      <c r="A3930" s="2" t="inlineStr">
        <is>
          <t>Ноутбуки</t>
        </is>
      </c>
      <c r="B3930" s="2" t="inlineStr">
        <is>
          <t>LENOVO</t>
        </is>
      </c>
      <c r="C3930" s="2" t="inlineStr">
        <is>
          <t>21MR002QGQ</t>
        </is>
      </c>
      <c r="D3930" s="2" t="inlineStr">
        <is>
          <t>Ноутбук Lenovo Thinkbook 14 G7 IML Core Ultra 5 125U 16Gb SSD512Gb Intel Graphics 14" IPS WUXGA (1920x1200) noOS grey WiFi BT Cam Bag (21MR002QGQ)</t>
        </is>
      </c>
      <c r="E3930" s="2" t="inlineStr">
        <is>
          <t>+ </t>
        </is>
      </c>
      <c r="F3930" s="2" t="inlineStr">
        <is>
          <t>+ </t>
        </is>
      </c>
      <c r="H3930" s="2">
        <v>982</v>
      </c>
      <c r="I3930" s="2" t="inlineStr">
        <is>
          <t>$</t>
        </is>
      </c>
      <c r="J3930" s="2">
        <f>HYPERLINK("https://app.astro.lead-studio.pro/product/614db5db-d48a-44e0-8668-454f83e5ccb7")</f>
      </c>
    </row>
    <row r="3931" spans="1:10" customHeight="0">
      <c r="A3931" s="2" t="inlineStr">
        <is>
          <t>Ноутбуки</t>
        </is>
      </c>
      <c r="B3931" s="2" t="inlineStr">
        <is>
          <t>LENOVO</t>
        </is>
      </c>
      <c r="C3931" s="2" t="inlineStr">
        <is>
          <t>21MR000DGQ</t>
        </is>
      </c>
      <c r="D3931" s="2" t="inlineStr">
        <is>
          <t>Ноутбук Lenovo Thinkbook 14 G7 IML Core Ultra 5 125U 8Gb SSD512Gb Intel Graphics 14" IPS WUXGA (1920x1200) без ОС grey WiFi BT Cam Bag (21MR000DGQ)</t>
        </is>
      </c>
      <c r="E3931" s="2" t="inlineStr">
        <is>
          <t>+ </t>
        </is>
      </c>
      <c r="F3931" s="2" t="inlineStr">
        <is>
          <t>+ </t>
        </is>
      </c>
      <c r="H3931" s="2">
        <v>882</v>
      </c>
      <c r="I3931" s="2" t="inlineStr">
        <is>
          <t>$</t>
        </is>
      </c>
      <c r="J3931" s="2">
        <f>HYPERLINK("https://app.astro.lead-studio.pro/product/4c3fd4f4-375e-4b05-9be7-44a4c5e6724f")</f>
      </c>
    </row>
    <row r="3932" spans="1:10" customHeight="0">
      <c r="A3932" s="2" t="inlineStr">
        <is>
          <t>Ноутбуки</t>
        </is>
      </c>
      <c r="B3932" s="2" t="inlineStr">
        <is>
          <t>LENOVO</t>
        </is>
      </c>
      <c r="C3932" s="2" t="inlineStr">
        <is>
          <t>21MR001BGQ</t>
        </is>
      </c>
      <c r="D3932" s="2" t="inlineStr">
        <is>
          <t>Ноутбук Lenovo Thinkbook 14 G7 IML Core Ultra 7 155H 8Gb SSD512Gb Intel Arc 14" IPS WUXGA (1920x1200) без ОС grey WiFi BT Cam Bag (21MR001BGQ)</t>
        </is>
      </c>
      <c r="E3932" s="2" t="inlineStr">
        <is>
          <t>+ </t>
        </is>
      </c>
      <c r="F3932" s="2" t="inlineStr">
        <is>
          <t>+ </t>
        </is>
      </c>
      <c r="H3932" s="2">
        <v>1022</v>
      </c>
      <c r="I3932" s="2" t="inlineStr">
        <is>
          <t>$</t>
        </is>
      </c>
      <c r="J3932" s="2">
        <f>HYPERLINK("https://app.astro.lead-studio.pro/product/ca207d34-f9d9-4eac-ae11-580a789f0fec")</f>
      </c>
    </row>
    <row r="3933" spans="1:10" customHeight="0">
      <c r="A3933" s="2" t="inlineStr">
        <is>
          <t>Ноутбуки</t>
        </is>
      </c>
      <c r="B3933" s="2" t="inlineStr">
        <is>
          <t>LENOVO</t>
        </is>
      </c>
      <c r="C3933" s="2" t="inlineStr">
        <is>
          <t>21DJ00SUUS</t>
        </is>
      </c>
      <c r="D3933" s="2" t="inlineStr">
        <is>
          <t>Ноутбук Lenovo Thinkbook 15 G4 IAP Core i7 1255U 8Gb SSD512Gb Intel Iris Xe graphics 15.6" TN FHD (1920x1080) Windows 11 Pro grey WiFi BT Cam (21DJ00SUUS)</t>
        </is>
      </c>
      <c r="E3933" s="2" t="inlineStr">
        <is>
          <t>+ </t>
        </is>
      </c>
      <c r="F3933" s="2" t="inlineStr">
        <is>
          <t>+ </t>
        </is>
      </c>
      <c r="H3933" s="2">
        <v>1076</v>
      </c>
      <c r="I3933" s="2" t="inlineStr">
        <is>
          <t>$</t>
        </is>
      </c>
      <c r="J3933" s="2">
        <f>HYPERLINK("https://app.astro.lead-studio.pro/product/b7a8a06b-c32b-4692-9748-b5ed8926a8a7")</f>
      </c>
    </row>
    <row r="3934" spans="1:10" customHeight="0">
      <c r="A3934" s="2" t="inlineStr">
        <is>
          <t>Ноутбуки</t>
        </is>
      </c>
      <c r="B3934" s="2" t="inlineStr">
        <is>
          <t>LENOVO</t>
        </is>
      </c>
      <c r="C3934" s="2" t="inlineStr">
        <is>
          <t>21KK008FUE</t>
        </is>
      </c>
      <c r="D3934" s="2" t="inlineStr">
        <is>
          <t>Ноутбук Lenovo Thinkbook 16 G6 ABP Ryzen 5 7430U 16Gb SSD512Gb AMD Radeon 16" IPS WUXGA (1920x1200) noOS grey WiFi BT Cam (21KK008FUE)</t>
        </is>
      </c>
      <c r="E3934" s="2" t="inlineStr">
        <is>
          <t>+++ </t>
        </is>
      </c>
      <c r="F3934" s="2" t="inlineStr">
        <is>
          <t>+++ </t>
        </is>
      </c>
      <c r="H3934" s="2">
        <v>803</v>
      </c>
      <c r="I3934" s="2" t="inlineStr">
        <is>
          <t>$</t>
        </is>
      </c>
      <c r="J3934" s="2">
        <f>HYPERLINK("https://app.astro.lead-studio.pro/product/f24f78a6-6335-4060-a776-23043a049a09")</f>
      </c>
    </row>
    <row r="3935" spans="1:10" customHeight="0">
      <c r="A3935" s="2" t="inlineStr">
        <is>
          <t>Ноутбуки</t>
        </is>
      </c>
      <c r="B3935" s="2" t="inlineStr">
        <is>
          <t>LENOVO</t>
        </is>
      </c>
      <c r="C3935" s="2" t="inlineStr">
        <is>
          <t>21KK008FAK</t>
        </is>
      </c>
      <c r="D3935" s="2" t="inlineStr">
        <is>
          <t>Ноутбук Lenovo Thinkbook 16 G6 ABP Ryzen 5 7430U 16Gb SSD512Gb AMD Radeon 16" IPS WUXGA (1920x1200) без ОС grey WiFi BT Cam (21KK008FAK)</t>
        </is>
      </c>
      <c r="E3935" s="2" t="inlineStr">
        <is>
          <t>+++ </t>
        </is>
      </c>
      <c r="F3935" s="2" t="inlineStr">
        <is>
          <t>+++ </t>
        </is>
      </c>
      <c r="H3935" s="2">
        <v>806</v>
      </c>
      <c r="I3935" s="2" t="inlineStr">
        <is>
          <t>$</t>
        </is>
      </c>
      <c r="J3935" s="2">
        <f>HYPERLINK("https://app.astro.lead-studio.pro/product/6484444e-f9a8-475b-9d07-45e8a16b5eb3")</f>
      </c>
    </row>
    <row r="3936" spans="1:10" customHeight="0">
      <c r="A3936" s="2" t="inlineStr">
        <is>
          <t>Ноутбуки</t>
        </is>
      </c>
      <c r="B3936" s="2" t="inlineStr">
        <is>
          <t>LENOVO</t>
        </is>
      </c>
      <c r="C3936" s="2" t="inlineStr">
        <is>
          <t>21KH00SMEV</t>
        </is>
      </c>
      <c r="D3936" s="2" t="inlineStr">
        <is>
          <t>Ноутбук Lenovo Thinkbook 16 G6 IRL Core i5 13420H 16Gb SSD512Gb Intel UHD Graphics 16" IPS WUXGA (1920x1200) без ОС grey WiFi BT Cam (21KH00SMEV)</t>
        </is>
      </c>
      <c r="E3936" s="2" t="inlineStr">
        <is>
          <t>+++ </t>
        </is>
      </c>
      <c r="F3936" s="2" t="inlineStr">
        <is>
          <t>+++ </t>
        </is>
      </c>
      <c r="H3936" s="2">
        <v>997</v>
      </c>
      <c r="I3936" s="2" t="inlineStr">
        <is>
          <t>$</t>
        </is>
      </c>
      <c r="J3936" s="2">
        <f>HYPERLINK("https://app.astro.lead-studio.pro/product/4bd5e7a6-26c7-474d-a4b2-05e8c20f6b8a")</f>
      </c>
    </row>
    <row r="3937" spans="1:10" customHeight="0">
      <c r="A3937" s="2" t="inlineStr">
        <is>
          <t>Ноутбуки</t>
        </is>
      </c>
      <c r="B3937" s="2" t="inlineStr">
        <is>
          <t>LENOVO</t>
        </is>
      </c>
      <c r="C3937" s="2" t="inlineStr">
        <is>
          <t>21KH00RREV</t>
        </is>
      </c>
      <c r="D3937" s="2" t="inlineStr">
        <is>
          <t>Ноутбук Lenovo Thinkbook 16 G6 IRL Core i5 13420H 8Gb SSD512Gb Intel UHD Graphics 16" IPS WUXGA (1920x1200) без ОС grey WiFi BT Cam Bag (21KH00RREV)</t>
        </is>
      </c>
      <c r="E3937" s="2" t="inlineStr">
        <is>
          <t>+++ </t>
        </is>
      </c>
      <c r="F3937" s="2" t="inlineStr">
        <is>
          <t>+++ </t>
        </is>
      </c>
      <c r="H3937" s="2">
        <v>863</v>
      </c>
      <c r="I3937" s="2" t="inlineStr">
        <is>
          <t>$</t>
        </is>
      </c>
      <c r="J3937" s="2">
        <f>HYPERLINK("https://app.astro.lead-studio.pro/product/757517e3-0a1f-4935-9c9b-02a39c56586b")</f>
      </c>
    </row>
    <row r="3938" spans="1:10" customHeight="0">
      <c r="A3938" s="2" t="inlineStr">
        <is>
          <t>Ноутбуки</t>
        </is>
      </c>
      <c r="B3938" s="2" t="inlineStr">
        <is>
          <t>LENOVO</t>
        </is>
      </c>
      <c r="C3938" s="2" t="inlineStr">
        <is>
          <t>21KH00E8AK</t>
        </is>
      </c>
      <c r="D3938" s="2" t="inlineStr">
        <is>
          <t>Ноутбук Lenovo Thinkbook 16 G6 IRL Core i7 13700H 16Gb SSD512Gb Intel Iris Xe graphics 16" IPS WUXGA (1920x1200) noOS grey WiFi BT Cam Bag (21KH00E8AK)</t>
        </is>
      </c>
      <c r="E3938" s="2" t="inlineStr">
        <is>
          <t>+++ </t>
        </is>
      </c>
      <c r="F3938" s="2" t="inlineStr">
        <is>
          <t>+++ </t>
        </is>
      </c>
      <c r="H3938" s="2">
        <v>1111</v>
      </c>
      <c r="I3938" s="2" t="inlineStr">
        <is>
          <t>$</t>
        </is>
      </c>
      <c r="J3938" s="2">
        <f>HYPERLINK("https://app.astro.lead-studio.pro/product/f19e7883-9b6a-4d64-b183-b0016d5d16ad")</f>
      </c>
    </row>
    <row r="3939" spans="1:10" customHeight="0">
      <c r="A3939" s="2" t="inlineStr">
        <is>
          <t>Ноутбуки</t>
        </is>
      </c>
      <c r="B3939" s="2" t="inlineStr">
        <is>
          <t>LENOVO</t>
        </is>
      </c>
      <c r="C3939" s="2" t="inlineStr">
        <is>
          <t>21KH007VRM</t>
        </is>
      </c>
      <c r="D3939" s="2" t="inlineStr">
        <is>
          <t>Ноутбук Lenovo Thinkbook 16 G6 IRL Core i7 13700H 16Gb SSD512Gb Intel Iris Xe graphics 16" IPS WUXGA (1920x1200) без ОС grey WiFi BT Cam (21KH007VRM)</t>
        </is>
      </c>
      <c r="E3939" s="2" t="inlineStr">
        <is>
          <t>++ </t>
        </is>
      </c>
      <c r="F3939" s="2" t="inlineStr">
        <is>
          <t>++ </t>
        </is>
      </c>
      <c r="H3939" s="2">
        <v>1097</v>
      </c>
      <c r="I3939" s="2" t="inlineStr">
        <is>
          <t>$</t>
        </is>
      </c>
      <c r="J3939" s="2">
        <f>HYPERLINK("https://app.astro.lead-studio.pro/product/b2244fcc-9435-4a5e-9c1d-00d532968ed9")</f>
      </c>
    </row>
    <row r="3940" spans="1:10" customHeight="0">
      <c r="A3940" s="2" t="inlineStr">
        <is>
          <t>Ноутбуки</t>
        </is>
      </c>
      <c r="B3940" s="2" t="inlineStr">
        <is>
          <t>LENOVO</t>
        </is>
      </c>
      <c r="C3940" s="2" t="inlineStr">
        <is>
          <t>21KH005SEV</t>
        </is>
      </c>
      <c r="D3940" s="2" t="inlineStr">
        <is>
          <t>Ноутбук Lenovo Thinkbook 16 G6 IRL Core i7 13700H 8Gb SSD512Gb Intel Iris Xe graphics 16" IPS WUXGA (1920x1200) без ОС grey WiFi BT Cam (21KH005SEV)</t>
        </is>
      </c>
      <c r="E3940" s="2" t="inlineStr">
        <is>
          <t>+++ </t>
        </is>
      </c>
      <c r="F3940" s="2" t="inlineStr">
        <is>
          <t>+++ </t>
        </is>
      </c>
      <c r="H3940" s="2">
        <v>1056</v>
      </c>
      <c r="I3940" s="2" t="inlineStr">
        <is>
          <t>$</t>
        </is>
      </c>
      <c r="J3940" s="2">
        <f>HYPERLINK("https://app.astro.lead-studio.pro/product/3a8519f1-c49e-4392-b692-ad7a22063414")</f>
      </c>
    </row>
    <row r="3941" spans="1:10" customHeight="0">
      <c r="A3941" s="2" t="inlineStr">
        <is>
          <t>Ноутбуки</t>
        </is>
      </c>
      <c r="B3941" s="2" t="inlineStr">
        <is>
          <t>LENOVO</t>
        </is>
      </c>
      <c r="C3941" s="2" t="inlineStr">
        <is>
          <t>21MS0028AK</t>
        </is>
      </c>
      <c r="D3941" s="2" t="inlineStr">
        <is>
          <t>Ноутбук Lenovo Thinkbook 16 G7 IML Core Ultra 5 125U 8Gb SSD512Gb Intel Graphics 16" IPS WUXGA (1920x1200) без ОС grey WiFi BT Cam Bag (21MS0028AK)</t>
        </is>
      </c>
      <c r="E3941" s="2" t="inlineStr">
        <is>
          <t>+ </t>
        </is>
      </c>
      <c r="F3941" s="2" t="inlineStr">
        <is>
          <t>+ </t>
        </is>
      </c>
      <c r="H3941" s="2">
        <v>874</v>
      </c>
      <c r="I3941" s="2" t="inlineStr">
        <is>
          <t>$</t>
        </is>
      </c>
      <c r="J3941" s="2">
        <f>HYPERLINK("https://app.astro.lead-studio.pro/product/20bee43f-7a1e-4c7f-845c-ae63b86e9bf5")</f>
      </c>
    </row>
    <row r="3942" spans="1:10" customHeight="0">
      <c r="A3942" s="2" t="inlineStr">
        <is>
          <t>Ноутбуки</t>
        </is>
      </c>
      <c r="B3942" s="2" t="inlineStr">
        <is>
          <t>LENOVO</t>
        </is>
      </c>
      <c r="C3942" s="2" t="inlineStr">
        <is>
          <t>21MS0028GQ</t>
        </is>
      </c>
      <c r="D3942" s="2" t="inlineStr">
        <is>
          <t>Ноутбук Lenovo Thinkbook 16 G7 IML Core Ultra 5 125U 8Gb SSD512Gb Intel Graphics 16" IPS WUXGA (1920x1200) без ОС grey WiFi BT Cam Bag (21MS0028GQ)</t>
        </is>
      </c>
      <c r="E3942" s="2" t="inlineStr">
        <is>
          <t>+ </t>
        </is>
      </c>
      <c r="F3942" s="2" t="inlineStr">
        <is>
          <t>+ </t>
        </is>
      </c>
      <c r="H3942" s="2">
        <v>888</v>
      </c>
      <c r="I3942" s="2" t="inlineStr">
        <is>
          <t>$</t>
        </is>
      </c>
      <c r="J3942" s="2">
        <f>HYPERLINK("https://app.astro.lead-studio.pro/product/ccd507d8-ffe5-4790-b014-65963ee7fdc3")</f>
      </c>
    </row>
    <row r="3943" spans="1:10" customHeight="0">
      <c r="A3943" s="2" t="inlineStr">
        <is>
          <t>Ноутбуки</t>
        </is>
      </c>
      <c r="B3943" s="2" t="inlineStr">
        <is>
          <t>LENOVO</t>
        </is>
      </c>
      <c r="C3943" s="2" t="inlineStr">
        <is>
          <t>21FHA1PGCD-N001</t>
        </is>
      </c>
      <c r="D3943" s="2" t="inlineStr">
        <is>
          <t>Ноутбук Lenovo ThinkPad L13 G4 Core i5 1335U 16Gb SSD512Gb Intel Iris Xe graphics 13.3" IPS WUXGA (1920x1200) Windows 11 Pro 64 black WiFi BT Cam (21FHA1PGCD-N001)</t>
        </is>
      </c>
      <c r="E3943" s="2" t="inlineStr">
        <is>
          <t>+ </t>
        </is>
      </c>
      <c r="F3943" s="2" t="inlineStr">
        <is>
          <t>+ </t>
        </is>
      </c>
      <c r="H3943" s="2">
        <v>1353</v>
      </c>
      <c r="I3943" s="2" t="inlineStr">
        <is>
          <t>$</t>
        </is>
      </c>
      <c r="J3943" s="2">
        <f>HYPERLINK("https://app.astro.lead-studio.pro/product/ed2d2c16-c13b-40ed-b999-43abf48c27ba")</f>
      </c>
    </row>
    <row r="3944" spans="1:10" customHeight="0">
      <c r="A3944" s="2" t="inlineStr">
        <is>
          <t>Ноутбуки</t>
        </is>
      </c>
      <c r="B3944" s="2" t="inlineStr">
        <is>
          <t>LENOVO</t>
        </is>
      </c>
      <c r="C3944" s="2" t="inlineStr">
        <is>
          <t>21FQA08MCD</t>
        </is>
      </c>
      <c r="D3944" s="2" t="inlineStr">
        <is>
          <t>Ноутбук Lenovo ThinkPad L13 G4 Ryzen 5 Pro 7530U 16Gb SSD512Gb AMD Radeon 13.3" IPS WUXGA (1920x1200) noOS black WiFi BT Cam (21FQA08MCD)</t>
        </is>
      </c>
      <c r="E3944" s="2" t="inlineStr">
        <is>
          <t>+ </t>
        </is>
      </c>
      <c r="F3944" s="2" t="inlineStr">
        <is>
          <t>+ </t>
        </is>
      </c>
      <c r="H3944" s="2">
        <v>1140</v>
      </c>
      <c r="I3944" s="2" t="inlineStr">
        <is>
          <t>$</t>
        </is>
      </c>
      <c r="J3944" s="2">
        <f>HYPERLINK("https://app.astro.lead-studio.pro/product/c1e4cc2b-94da-4d0c-84ea-dd91ae47332c")</f>
      </c>
    </row>
    <row r="3945" spans="1:10" customHeight="0">
      <c r="A3945" s="2" t="inlineStr">
        <is>
          <t>Ноутбуки</t>
        </is>
      </c>
      <c r="B3945" s="2" t="inlineStr">
        <is>
          <t>LENOVO</t>
        </is>
      </c>
      <c r="C3945" s="2" t="inlineStr">
        <is>
          <t>21FQA08MCD-N001</t>
        </is>
      </c>
      <c r="D3945" s="2" t="inlineStr">
        <is>
          <t>Ноутбук Lenovo ThinkPad L13 G4 Ryzen 5 Pro 7530U 16Gb SSD512Gb AMD Radeon 13.3" IPS WUXGA (1920x1200) Windows 11 Professional black WiFi BT Cam (21FQA08MCD-N001)</t>
        </is>
      </c>
      <c r="E3945" s="2" t="inlineStr">
        <is>
          <t>+ </t>
        </is>
      </c>
      <c r="F3945" s="2" t="inlineStr">
        <is>
          <t>+ </t>
        </is>
      </c>
      <c r="H3945" s="2">
        <v>1261</v>
      </c>
      <c r="I3945" s="2" t="inlineStr">
        <is>
          <t>$</t>
        </is>
      </c>
      <c r="J3945" s="2">
        <f>HYPERLINK("https://app.astro.lead-studio.pro/product/c794906d-0440-4dff-b92b-cbd5bade571b")</f>
      </c>
    </row>
    <row r="3946" spans="1:10" customHeight="0">
      <c r="A3946" s="2" t="inlineStr">
        <is>
          <t>Ноутбуки</t>
        </is>
      </c>
      <c r="B3946" s="2" t="inlineStr">
        <is>
          <t>LENOVO</t>
        </is>
      </c>
      <c r="C3946" s="2" t="inlineStr">
        <is>
          <t>21HGS4KG00</t>
        </is>
      </c>
      <c r="D3946" s="2" t="inlineStr">
        <is>
          <t>Ноутбук Lenovo ThinkPad P14s G4 Core i7 1360P 16Gb SSD1Tb Intel UHD Graphics 14" IPS WUXGA (1920x1200) noOS black WiFi BT Cam (21HGS4KG00)</t>
        </is>
      </c>
      <c r="E3946" s="2" t="inlineStr">
        <is>
          <t>+ </t>
        </is>
      </c>
      <c r="F3946" s="2" t="inlineStr">
        <is>
          <t>+ </t>
        </is>
      </c>
      <c r="H3946" s="2">
        <v>1707</v>
      </c>
      <c r="I3946" s="2" t="inlineStr">
        <is>
          <t>$</t>
        </is>
      </c>
      <c r="J3946" s="2">
        <f>HYPERLINK("https://app.astro.lead-studio.pro/product/f8ab52d6-ea65-4f55-8516-70d82ecc0377")</f>
      </c>
    </row>
    <row r="3947" spans="1:10" customHeight="0">
      <c r="A3947" s="2" t="inlineStr">
        <is>
          <t>Ноутбуки</t>
        </is>
      </c>
      <c r="B3947" s="2" t="inlineStr">
        <is>
          <t>LENOVO</t>
        </is>
      </c>
      <c r="C3947" s="2" t="inlineStr">
        <is>
          <t>21MMS99X0V</t>
        </is>
      </c>
      <c r="D3947" s="2" t="inlineStr">
        <is>
          <t>Ноутбук Lenovo ThinkPad T14 G5 Core Ultra 5 135U 16Gb SSD256Gb Intel Graphics 14" IPS WUXGA (1920x1200) Windows 11 Professional 64 black WiFi BT Cam (21MMS99X0V)</t>
        </is>
      </c>
      <c r="E3947" s="2" t="inlineStr">
        <is>
          <t>+ </t>
        </is>
      </c>
      <c r="F3947" s="2" t="inlineStr">
        <is>
          <t>+ </t>
        </is>
      </c>
      <c r="H3947" s="2">
        <v>1852</v>
      </c>
      <c r="I3947" s="2" t="inlineStr">
        <is>
          <t>$</t>
        </is>
      </c>
      <c r="J3947" s="2">
        <f>HYPERLINK("https://app.astro.lead-studio.pro/product/c4a1858a-9c39-4ee0-8d84-488c2c6d751c")</f>
      </c>
    </row>
    <row r="3948" spans="1:10" customHeight="0">
      <c r="A3948" s="2" t="inlineStr">
        <is>
          <t>Ноутбуки</t>
        </is>
      </c>
      <c r="B3948" s="2" t="inlineStr">
        <is>
          <t>LENOVO</t>
        </is>
      </c>
      <c r="C3948" s="2" t="inlineStr">
        <is>
          <t>21KDS07D00</t>
        </is>
      </c>
      <c r="D3948" s="2" t="inlineStr">
        <is>
          <t>Ноутбук Lenovo ThinkPad X1 Carbon G12 Core Ultra 7 155U 16Gb SSD1Tb Intel Graphics 14" IPS WUXGA (1920x1200) Windows 11 Pro 64 black WiFi BT Cam (21KDS07D00)</t>
        </is>
      </c>
      <c r="E3948" s="2" t="inlineStr">
        <is>
          <t>+ </t>
        </is>
      </c>
      <c r="F3948" s="2" t="inlineStr">
        <is>
          <t>+ </t>
        </is>
      </c>
      <c r="H3948" s="2">
        <v>3033</v>
      </c>
      <c r="I3948" s="2" t="inlineStr">
        <is>
          <t>$</t>
        </is>
      </c>
      <c r="J3948" s="2">
        <f>HYPERLINK("https://app.astro.lead-studio.pro/product/da3c93cf-094e-411b-97eb-c1db0688410c")</f>
      </c>
    </row>
    <row r="3949" spans="1:10" customHeight="0">
      <c r="A3949" s="2" t="inlineStr">
        <is>
          <t>Ноутбуки</t>
        </is>
      </c>
      <c r="B3949" s="2" t="inlineStr">
        <is>
          <t>LENOVO</t>
        </is>
      </c>
      <c r="C3949" s="2" t="inlineStr">
        <is>
          <t>21KDS6D000</t>
        </is>
      </c>
      <c r="D3949" s="2" t="inlineStr">
        <is>
          <t>Ноутбук Lenovo ThinkPad X1 Carbon G12 Core Ultra 7 155U 16Gb SSD1Tb Intel Graphics 14" OLED 2.8K (2880x1800) Windows 11 Pro 64 black WiFi BT Cam (21KDS6D000)</t>
        </is>
      </c>
      <c r="E3949" s="2" t="inlineStr">
        <is>
          <t>+ </t>
        </is>
      </c>
      <c r="F3949" s="2" t="inlineStr">
        <is>
          <t>+ </t>
        </is>
      </c>
      <c r="H3949" s="2">
        <v>3142</v>
      </c>
      <c r="I3949" s="2" t="inlineStr">
        <is>
          <t>$</t>
        </is>
      </c>
      <c r="J3949" s="2">
        <f>HYPERLINK("https://app.astro.lead-studio.pro/product/a9c258c0-0df3-41ef-aadd-67b071436c28")</f>
      </c>
    </row>
    <row r="3950" spans="1:10" customHeight="0">
      <c r="A3950" s="2" t="inlineStr">
        <is>
          <t>Ноутбуки</t>
        </is>
      </c>
      <c r="B3950" s="2" t="inlineStr">
        <is>
          <t>LENOVO</t>
        </is>
      </c>
      <c r="C3950" s="2" t="inlineStr">
        <is>
          <t>21KDS07C00</t>
        </is>
      </c>
      <c r="D3950" s="2" t="inlineStr">
        <is>
          <t>Ноутбук Lenovo ThinkPad X1 Carbon G12 Core Ultra 7 155U 32Gb SSD1Tb Intel Graphics 14" IPS WUXGA (1920x1200) Windows 11 Pro 64 black WiFi BT Cam (21KDS07C00)</t>
        </is>
      </c>
      <c r="E3950" s="2" t="inlineStr">
        <is>
          <t>+ </t>
        </is>
      </c>
      <c r="F3950" s="2" t="inlineStr">
        <is>
          <t>+ </t>
        </is>
      </c>
      <c r="H3950" s="2">
        <v>3179</v>
      </c>
      <c r="I3950" s="2" t="inlineStr">
        <is>
          <t>$</t>
        </is>
      </c>
      <c r="J3950" s="2">
        <f>HYPERLINK("https://app.astro.lead-studio.pro/product/bfc622ae-ea54-44df-9781-12c02e4b9d6e")</f>
      </c>
    </row>
    <row r="3951" spans="1:10" customHeight="0">
      <c r="A3951" s="2" t="inlineStr">
        <is>
          <t>Ноутбуки</t>
        </is>
      </c>
      <c r="B3951" s="2" t="inlineStr">
        <is>
          <t>LENOVO</t>
        </is>
      </c>
      <c r="C3951" s="2" t="inlineStr">
        <is>
          <t>21KDS6D300</t>
        </is>
      </c>
      <c r="D3951" s="2" t="inlineStr">
        <is>
          <t>Ноутбук Lenovo ThinkPad X1 Carbon G12 Core Ultra 7 155U 32Gb SSD1Tb Intel Graphics 14" OLED 2.8K (2880x1800) noOS black WiFi BT Cam (21KDS6D300)</t>
        </is>
      </c>
      <c r="E3951" s="2" t="inlineStr">
        <is>
          <t>+ </t>
        </is>
      </c>
      <c r="F3951" s="2" t="inlineStr">
        <is>
          <t>+ </t>
        </is>
      </c>
      <c r="H3951" s="2">
        <v>3176</v>
      </c>
      <c r="I3951" s="2" t="inlineStr">
        <is>
          <t>$</t>
        </is>
      </c>
      <c r="J3951" s="2">
        <f>HYPERLINK("https://app.astro.lead-studio.pro/product/0daf314b-e111-4550-b1df-448a6b2bb347")</f>
      </c>
    </row>
    <row r="3952" spans="1:10" customHeight="0">
      <c r="A3952" s="2" t="inlineStr">
        <is>
          <t>Ноутбуки</t>
        </is>
      </c>
      <c r="B3952" s="2" t="inlineStr">
        <is>
          <t>LENOVO</t>
        </is>
      </c>
      <c r="C3952" s="2" t="inlineStr">
        <is>
          <t>21KDS6D100</t>
        </is>
      </c>
      <c r="D3952" s="2" t="inlineStr">
        <is>
          <t>Ноутбук Lenovo ThinkPad X1 Carbon G12 Core Ultra 7 155U 32Gb SSD1Tb Intel Graphics 14" OLED 2.8K (2880x1800) Windows 11 Pro 64 black WiFi BT Cam (21KDS6D100)</t>
        </is>
      </c>
      <c r="E3952" s="2" t="inlineStr">
        <is>
          <t>+ </t>
        </is>
      </c>
      <c r="F3952" s="2" t="inlineStr">
        <is>
          <t>+ </t>
        </is>
      </c>
      <c r="H3952" s="2">
        <v>3355</v>
      </c>
      <c r="I3952" s="2" t="inlineStr">
        <is>
          <t>$</t>
        </is>
      </c>
      <c r="J3952" s="2">
        <f>HYPERLINK("https://app.astro.lead-studio.pro/product/fa1e4616-f33e-44cc-ad5e-ea19957d9c45")</f>
      </c>
    </row>
    <row r="3953" spans="1:10" customHeight="0">
      <c r="A3953" s="2" t="inlineStr">
        <is>
          <t>Ноутбуки</t>
        </is>
      </c>
      <c r="B3953" s="2" t="inlineStr">
        <is>
          <t>LENOVO</t>
        </is>
      </c>
      <c r="C3953" s="2" t="inlineStr">
        <is>
          <t>21KDS6D200</t>
        </is>
      </c>
      <c r="D3953" s="2" t="inlineStr">
        <is>
          <t>Ноутбук Lenovo ThinkPad X1 Carbon G12 Core Ultra 7 155U 32Gb SSD1Tb Intel Graphics 14" OLED 2.8K (2880x1800) Windows 11 Professional 64 black WiFi BT Cam (21KDS6D200)</t>
        </is>
      </c>
      <c r="E3953" s="2" t="inlineStr">
        <is>
          <t>+ </t>
        </is>
      </c>
      <c r="F3953" s="2" t="inlineStr">
        <is>
          <t>+ </t>
        </is>
      </c>
      <c r="H3953" s="2">
        <v>3500</v>
      </c>
      <c r="I3953" s="2" t="inlineStr">
        <is>
          <t>$</t>
        </is>
      </c>
      <c r="J3953" s="2">
        <f>HYPERLINK("https://app.astro.lead-studio.pro/product/cdd18946-b83d-4f45-bc37-c33a5533dca7")</f>
      </c>
    </row>
    <row r="3954" spans="1:10" customHeight="0">
      <c r="A3954" s="2" t="inlineStr">
        <is>
          <t>Ноутбуки</t>
        </is>
      </c>
      <c r="B3954" s="2" t="inlineStr">
        <is>
          <t>LENOVO</t>
        </is>
      </c>
      <c r="C3954" s="2" t="inlineStr">
        <is>
          <t>21KDS6CY00</t>
        </is>
      </c>
      <c r="D3954" s="2" t="inlineStr">
        <is>
          <t>Ноутбук Lenovo ThinkPad X1 Carbon G12 Core Ultra 7 155U 32Gb SSD1Tb Intel Graphics 14" OLED 2.8K (2880x1800) без ОС black WiFi BT Cam (21KDS6CY00)</t>
        </is>
      </c>
      <c r="E3954" s="2" t="inlineStr">
        <is>
          <t>+ </t>
        </is>
      </c>
      <c r="F3954" s="2" t="inlineStr">
        <is>
          <t>+ </t>
        </is>
      </c>
      <c r="H3954" s="2">
        <v>3120</v>
      </c>
      <c r="I3954" s="2" t="inlineStr">
        <is>
          <t>$</t>
        </is>
      </c>
      <c r="J3954" s="2">
        <f>HYPERLINK("https://app.astro.lead-studio.pro/product/5e12accb-68c1-4cf1-82d3-1933f36dfea4")</f>
      </c>
    </row>
    <row r="3955" spans="1:10" customHeight="0">
      <c r="A3955" s="2" t="inlineStr">
        <is>
          <t>Ноутбуки</t>
        </is>
      </c>
      <c r="B3955" s="2" t="inlineStr">
        <is>
          <t>LENOVO</t>
        </is>
      </c>
      <c r="C3955" s="2" t="inlineStr">
        <is>
          <t>82TT005DAK</t>
        </is>
      </c>
      <c r="D3955" s="2" t="inlineStr">
        <is>
          <t>Ноутбук Lenovo V15 G3 IAP Core i3 1215U 8Gb SSD256Gb Intel UHD Graphics 15.6" TN FHD (1920x1080) без ОС black WiFi BT Cam (82TT005DAK)</t>
        </is>
      </c>
      <c r="E3955" s="2" t="inlineStr">
        <is>
          <t>+ </t>
        </is>
      </c>
      <c r="F3955" s="2" t="inlineStr">
        <is>
          <t>+ </t>
        </is>
      </c>
      <c r="H3955" s="2">
        <v>421</v>
      </c>
      <c r="I3955" s="2" t="inlineStr">
        <is>
          <t>$</t>
        </is>
      </c>
      <c r="J3955" s="2">
        <f>HYPERLINK("https://app.astro.lead-studio.pro/product/fd0ae629-58ca-48a4-9ab6-26e56641287b")</f>
      </c>
    </row>
    <row r="3956" spans="1:10" customHeight="0">
      <c r="A3956" s="2" t="inlineStr">
        <is>
          <t>Ноутбуки</t>
        </is>
      </c>
      <c r="B3956" s="2" t="inlineStr">
        <is>
          <t>LENOVO</t>
        </is>
      </c>
      <c r="C3956" s="2" t="inlineStr">
        <is>
          <t>83CR000VIN</t>
        </is>
      </c>
      <c r="D3956" s="2" t="inlineStr">
        <is>
          <t>Ноутбук Lenovo V15 G4 ABP Ryzen 7 7730U 16Gb SSD512Gb AMD Radeon 15.6" TN FHD (1920x1080) без ОС grey WiFi BT Cam (83CR000VIN)</t>
        </is>
      </c>
      <c r="E3956" s="2" t="inlineStr">
        <is>
          <t>+ </t>
        </is>
      </c>
      <c r="F3956" s="2" t="inlineStr">
        <is>
          <t>+ </t>
        </is>
      </c>
      <c r="H3956" s="2">
        <v>624</v>
      </c>
      <c r="I3956" s="2" t="inlineStr">
        <is>
          <t>$</t>
        </is>
      </c>
      <c r="J3956" s="2">
        <f>HYPERLINK("https://app.astro.lead-studio.pro/product/f498b425-50b3-4fb8-a72a-35a91f69790d")</f>
      </c>
    </row>
    <row r="3957" spans="1:10" customHeight="0">
      <c r="A3957" s="2" t="inlineStr">
        <is>
          <t>Ноутбуки</t>
        </is>
      </c>
      <c r="B3957" s="2" t="inlineStr">
        <is>
          <t>LENOVO</t>
        </is>
      </c>
      <c r="C3957" s="2" t="inlineStr">
        <is>
          <t>82YU0080AK</t>
        </is>
      </c>
      <c r="D3957" s="2" t="inlineStr">
        <is>
          <t>Ноутбук Lenovo V15 G4 AMN Ryzen 3 7320U 8Gb SSD256Gb AMD Radeon 610M 15.6" TN FHD (1920x1080) без ОС black WiFi BT Cam (82YU0080AK)</t>
        </is>
      </c>
      <c r="E3957" s="2" t="inlineStr">
        <is>
          <t>+ </t>
        </is>
      </c>
      <c r="F3957" s="2" t="inlineStr">
        <is>
          <t>+ </t>
        </is>
      </c>
      <c r="H3957" s="2">
        <v>376</v>
      </c>
      <c r="I3957" s="2" t="inlineStr">
        <is>
          <t>$</t>
        </is>
      </c>
      <c r="J3957" s="2">
        <f>HYPERLINK("https://app.astro.lead-studio.pro/product/69ad90b7-fa2a-4df2-9b80-23789b4ab5e5")</f>
      </c>
    </row>
    <row r="3958" spans="1:10" customHeight="0">
      <c r="A3958" s="2" t="inlineStr">
        <is>
          <t>Ноутбуки</t>
        </is>
      </c>
      <c r="B3958" s="2" t="inlineStr">
        <is>
          <t>LENOVO</t>
        </is>
      </c>
      <c r="C3958" s="2" t="inlineStr">
        <is>
          <t>1746613</t>
        </is>
      </c>
      <c r="D3958" s="2" t="inlineStr">
        <is>
          <t>Ноутбук Lenovo Xiaoxin Pro16 IAH7 Core i7 12700H 16Gb SSD512Gb Intel Iris Xe graphics 16" IPS 2.5K (2560x1600) Windows 11 Home grey WiFi BT Cam (1746613)</t>
        </is>
      </c>
      <c r="E3958" s="2" t="inlineStr">
        <is>
          <t>+ </t>
        </is>
      </c>
      <c r="F3958" s="2" t="inlineStr">
        <is>
          <t>+ </t>
        </is>
      </c>
      <c r="H3958" s="2">
        <v>1050</v>
      </c>
      <c r="I3958" s="2" t="inlineStr">
        <is>
          <t>$</t>
        </is>
      </c>
      <c r="J3958" s="2">
        <f>HYPERLINK("https://app.astro.lead-studio.pro/product/790d52b5-0a53-4a8b-94fb-fd3894e1d442")</f>
      </c>
    </row>
    <row r="3959" spans="1:10" customHeight="0">
      <c r="A3959" s="2" t="inlineStr">
        <is>
          <t>Ноутбуки</t>
        </is>
      </c>
      <c r="B3959" s="2" t="inlineStr">
        <is>
          <t>LENOVO</t>
        </is>
      </c>
      <c r="D3959" s="2" t="inlineStr">
        <is>
          <t>Ноутбук Lenovo Xiaoxin Pro16 IMH9 Core Ultra 5 125H 32Gb SSD1Tb Intel Arc 16" IPS 2.5K (2560x1600) Windows 11 Home grey WiFi BT Cam</t>
        </is>
      </c>
      <c r="E3959" s="2" t="inlineStr">
        <is>
          <t>+ </t>
        </is>
      </c>
      <c r="F3959" s="2" t="inlineStr">
        <is>
          <t>+ </t>
        </is>
      </c>
      <c r="H3959" s="2">
        <v>1336</v>
      </c>
      <c r="I3959" s="2" t="inlineStr">
        <is>
          <t>$</t>
        </is>
      </c>
    </row>
    <row r="3960" spans="1:10" customHeight="0">
      <c r="A3960" s="2" t="inlineStr">
        <is>
          <t>Ноутбуки</t>
        </is>
      </c>
      <c r="B3960" s="2" t="inlineStr">
        <is>
          <t>LENOVO</t>
        </is>
      </c>
      <c r="D3960" s="2" t="inlineStr">
        <is>
          <t>Ноутбук Lenovo Xiaoxin Pro16 IRH8 Core i7 13620H 16Gb SSD1Tb Intel UHD Graphics 16" IPS 2.5K (2560x1600) Windows 11 Home grey WiFi BT Cam</t>
        </is>
      </c>
      <c r="E3960" s="2" t="inlineStr">
        <is>
          <t>+ </t>
        </is>
      </c>
      <c r="F3960" s="2" t="inlineStr">
        <is>
          <t>+ </t>
        </is>
      </c>
      <c r="H3960" s="2">
        <v>1209</v>
      </c>
      <c r="I3960" s="2" t="inlineStr">
        <is>
          <t>$</t>
        </is>
      </c>
    </row>
    <row r="3961" spans="1:10" customHeight="0">
      <c r="A3961" s="2" t="inlineStr">
        <is>
          <t>Ноутбуки</t>
        </is>
      </c>
      <c r="B3961" s="2" t="inlineStr">
        <is>
          <t>LENOVO</t>
        </is>
      </c>
      <c r="D3961" s="2" t="inlineStr">
        <is>
          <t>Ноутбук Lenovo Zhaoyang X5-16 ABP/83CBS00100 Ryzen 5 7530U 16Gb SSD512Gb AMD Radeon 16" IPS WUXGA (1920x1200) Windows 11 Pro black WiFi BT Cam</t>
        </is>
      </c>
      <c r="E3961" s="2" t="inlineStr">
        <is>
          <t>++ </t>
        </is>
      </c>
      <c r="F3961" s="2" t="inlineStr">
        <is>
          <t>++ </t>
        </is>
      </c>
      <c r="H3961" s="2">
        <v>775</v>
      </c>
      <c r="I3961" s="2" t="inlineStr">
        <is>
          <t>$</t>
        </is>
      </c>
    </row>
    <row r="3962" spans="1:10" customHeight="0">
      <c r="A3962" s="2" t="inlineStr">
        <is>
          <t>Ноутбуки</t>
        </is>
      </c>
      <c r="B3962" s="2" t="inlineStr">
        <is>
          <t>LENOVO</t>
        </is>
      </c>
      <c r="C3962" s="2" t="inlineStr">
        <is>
          <t>83AA001DRU</t>
        </is>
      </c>
      <c r="D3962" s="2" t="inlineStr">
        <is>
          <t>Ультрабук Lenovo Yoga Slim 7 14APU8 Ryzen 5 7640S 16Gb SSD512Gb AMD Radeon 760M 14.5" OLED 2.9K (2944x1840) Windows 11 Home l.grey WiFi BT Cam (83AA001DRU)</t>
        </is>
      </c>
      <c r="E3962" s="2" t="inlineStr">
        <is>
          <t>+ </t>
        </is>
      </c>
      <c r="F3962" s="2" t="inlineStr">
        <is>
          <t>+ </t>
        </is>
      </c>
      <c r="H3962" s="2">
        <v>1685</v>
      </c>
      <c r="I3962" s="2" t="inlineStr">
        <is>
          <t>$</t>
        </is>
      </c>
      <c r="J3962" s="2">
        <f>HYPERLINK("https://app.astro.lead-studio.pro/product/e0ad6c44-40e6-4e00-bafa-db352765b133")</f>
      </c>
    </row>
    <row r="3963" spans="1:10" customHeight="0">
      <c r="A3963" s="2" t="inlineStr">
        <is>
          <t>Ноутбуки</t>
        </is>
      </c>
      <c r="B3963" s="2" t="inlineStr">
        <is>
          <t>MSI</t>
        </is>
      </c>
      <c r="C3963" s="2" t="inlineStr">
        <is>
          <t>9S7-14L111-002</t>
        </is>
      </c>
      <c r="D3963" s="2" t="inlineStr">
        <is>
          <t>Ноутбук MSI Commercial 14 H A13MG-002US Core i5 13420H 16Gb SSD512Gb Intel Iris Xe graphics 14" IPS FHD+ (1920x1200) Windows 11 Professional Multi Language grey WiFi BT Cam (9S7-14L111-002)</t>
        </is>
      </c>
      <c r="E3963" s="2" t="inlineStr">
        <is>
          <t>+ </t>
        </is>
      </c>
      <c r="F3963" s="2" t="inlineStr">
        <is>
          <t>+ </t>
        </is>
      </c>
      <c r="H3963" s="2">
        <v>1027</v>
      </c>
      <c r="I3963" s="2" t="inlineStr">
        <is>
          <t>$</t>
        </is>
      </c>
      <c r="J3963" s="2">
        <f>HYPERLINK("https://app.astro.lead-studio.pro/product/a55937b2-c305-4fee-b817-a7053004d6f4")</f>
      </c>
    </row>
    <row r="3964" spans="1:10" customHeight="0">
      <c r="A3964" s="2" t="inlineStr">
        <is>
          <t>Ноутбуки</t>
        </is>
      </c>
      <c r="B3964" s="2" t="inlineStr">
        <is>
          <t>MSI</t>
        </is>
      </c>
      <c r="C3964" s="2" t="inlineStr">
        <is>
          <t>9S7-15FK14-268</t>
        </is>
      </c>
      <c r="D3964" s="2" t="inlineStr">
        <is>
          <t>Ноутбук MSI Creator A16 AI+ A3HVGG-268RU Ryzen AI 9 365 32Gb SSD2Tb NVIDIA GeForce RTX4070 8Gb 16" IPS QHD+ (2560x1600) Windows 11 Home grey WiFi BT Cam (9S7-15FK14-268)</t>
        </is>
      </c>
      <c r="E3964" s="2" t="inlineStr">
        <is>
          <t>+ </t>
        </is>
      </c>
      <c r="F3964" s="2" t="inlineStr">
        <is>
          <t>+ </t>
        </is>
      </c>
      <c r="H3964" s="2">
        <v>3392</v>
      </c>
      <c r="I3964" s="2" t="inlineStr">
        <is>
          <t>$</t>
        </is>
      </c>
      <c r="J3964" s="2">
        <f>HYPERLINK("https://app.astro.lead-studio.pro/product/c9bab9e9-95eb-44cb-9e9e-3dd38a553e7b")</f>
      </c>
    </row>
    <row r="3965" spans="1:10" customHeight="0">
      <c r="A3965" s="2" t="inlineStr">
        <is>
          <t>Ноутбуки</t>
        </is>
      </c>
      <c r="B3965" s="2" t="inlineStr">
        <is>
          <t>MSI</t>
        </is>
      </c>
      <c r="C3965" s="2" t="inlineStr">
        <is>
          <t>9S7-14P112-089</t>
        </is>
      </c>
      <c r="D3965" s="2" t="inlineStr">
        <is>
          <t>Ноутбук MSI Creator M14 A13VF-089RU Core i7 13620H 16Gb SSD1Tb NVIDIA GeForce RTX4060 8Gb 14" IPS 2.8K (2880x1800) Windows 11 Pro grey WiFi BT Cam (9S7-14P112-089)</t>
        </is>
      </c>
      <c r="E3965" s="2" t="inlineStr">
        <is>
          <t>+ </t>
        </is>
      </c>
      <c r="F3965" s="2" t="inlineStr">
        <is>
          <t>+ </t>
        </is>
      </c>
      <c r="H3965" s="2">
        <v>1978</v>
      </c>
      <c r="I3965" s="2" t="inlineStr">
        <is>
          <t>$</t>
        </is>
      </c>
      <c r="J3965" s="2">
        <f>HYPERLINK("https://app.astro.lead-studio.pro/product/fe10e8d3-aef5-4141-867a-f247cc911919")</f>
      </c>
    </row>
    <row r="3966" spans="1:10" customHeight="0">
      <c r="A3966" s="2" t="inlineStr">
        <is>
          <t>Ноутбуки</t>
        </is>
      </c>
      <c r="B3966" s="2" t="inlineStr">
        <is>
          <t>MSI</t>
        </is>
      </c>
      <c r="C3966" s="2" t="inlineStr">
        <is>
          <t>9S7-15P212-034</t>
        </is>
      </c>
      <c r="D3966" s="2" t="inlineStr">
        <is>
          <t>Ноутбук MSI Creator M16 HX C14VEG-034RU Core i7 14700HX 16Gb SSD1Tb NVIDIA GeForce RTX4050 6Gb 16" IPS QHD+ (2560x1600) Windows 11 Pro grey WiFi BT Cam (9S7-15P212-034)</t>
        </is>
      </c>
      <c r="E3966" s="2" t="inlineStr">
        <is>
          <t>+ </t>
        </is>
      </c>
      <c r="F3966" s="2" t="inlineStr">
        <is>
          <t>+ </t>
        </is>
      </c>
      <c r="H3966" s="2">
        <v>2252</v>
      </c>
      <c r="I3966" s="2" t="inlineStr">
        <is>
          <t>$</t>
        </is>
      </c>
      <c r="J3966" s="2">
        <f>HYPERLINK("https://app.astro.lead-studio.pro/product/48f56be3-43fb-4cf4-8e80-11fa4d2d72ec")</f>
      </c>
    </row>
    <row r="3967" spans="1:10" customHeight="0">
      <c r="A3967" s="2" t="inlineStr">
        <is>
          <t>Ноутбуки</t>
        </is>
      </c>
      <c r="B3967" s="2" t="inlineStr">
        <is>
          <t>MSI</t>
        </is>
      </c>
      <c r="C3967" s="2" t="inlineStr">
        <is>
          <t>9S7-15G231-055</t>
        </is>
      </c>
      <c r="D3967" s="2" t="inlineStr">
        <is>
          <t>Ноутбук MSI Creator Z16 HX Studio B13VFTO-055RU Core i7 13700HX 16Gb SSD1Tb NVIDIA GeForce RTX4060 8Gb 16" IPS QHD+ (2560x1600) Windows 11 Pro grey WiFi BT Cam (9S7-15G231-055)</t>
        </is>
      </c>
      <c r="E3967" s="2" t="inlineStr">
        <is>
          <t>+ </t>
        </is>
      </c>
      <c r="F3967" s="2" t="inlineStr">
        <is>
          <t>+ </t>
        </is>
      </c>
      <c r="H3967" s="2">
        <v>3002</v>
      </c>
      <c r="I3967" s="2" t="inlineStr">
        <is>
          <t>$</t>
        </is>
      </c>
      <c r="J3967" s="2">
        <f>HYPERLINK("https://app.astro.lead-studio.pro/product/40ec71ae-bf72-4fb1-b007-dcef81311034")</f>
      </c>
    </row>
    <row r="3968" spans="1:10" customHeight="0">
      <c r="A3968" s="2" t="inlineStr">
        <is>
          <t>Ноутбуки</t>
        </is>
      </c>
      <c r="B3968" s="2" t="inlineStr">
        <is>
          <t>MSI</t>
        </is>
      </c>
      <c r="C3968" s="2" t="inlineStr">
        <is>
          <t>9S7-15P215-456</t>
        </is>
      </c>
      <c r="D3968" s="2" t="inlineStr">
        <is>
          <t>Ноутбук MSI CreatorPro M16 HX C14VIG-456RU Core i7 14700HX 32Gb SSD2Tb NVIDIA RTX A1000 6Gb 16" IPS QHD+ (2560x1600) Windows 11 Professional grey WiFi BT Cam (9S7-15P215-456)</t>
        </is>
      </c>
      <c r="E3968" s="2" t="inlineStr">
        <is>
          <t>+ </t>
        </is>
      </c>
      <c r="F3968" s="2" t="inlineStr">
        <is>
          <t>+ </t>
        </is>
      </c>
      <c r="H3968" s="2">
        <v>2846</v>
      </c>
      <c r="I3968" s="2" t="inlineStr">
        <is>
          <t>$</t>
        </is>
      </c>
      <c r="J3968" s="2">
        <f>HYPERLINK("https://app.astro.lead-studio.pro/product/d9fc11d6-b81b-4154-9928-890d1165a3ca")</f>
      </c>
    </row>
    <row r="3969" spans="1:10" customHeight="0">
      <c r="A3969" s="2" t="inlineStr">
        <is>
          <t>Ноутбуки</t>
        </is>
      </c>
      <c r="B3969" s="2" t="inlineStr">
        <is>
          <t>MSI</t>
        </is>
      </c>
      <c r="C3969" s="2" t="inlineStr">
        <is>
          <t>9S7-15P215-457</t>
        </is>
      </c>
      <c r="D3969" s="2" t="inlineStr">
        <is>
          <t>Ноутбук MSI CreatorPro M16 HX C14VJG-457RU Core i7 14700HX 32Gb SSD2Tb NVIDIA RTX A2000 8Gb 16" IPS QHD+ (2560x1600) Windows 11 Professional grey WiFi BT Cam (9S7-15P215-457)</t>
        </is>
      </c>
      <c r="E3969" s="2" t="inlineStr">
        <is>
          <t>+ </t>
        </is>
      </c>
      <c r="F3969" s="2" t="inlineStr">
        <is>
          <t>+ </t>
        </is>
      </c>
      <c r="H3969" s="2">
        <v>3124</v>
      </c>
      <c r="I3969" s="2" t="inlineStr">
        <is>
          <t>$</t>
        </is>
      </c>
      <c r="J3969" s="2">
        <f>HYPERLINK("https://app.astro.lead-studio.pro/product/b4f0455d-508d-48de-a2a0-7a5cb8230043")</f>
      </c>
    </row>
    <row r="3970" spans="1:10" customHeight="0">
      <c r="A3970" s="2" t="inlineStr">
        <is>
          <t>Ноутбуки</t>
        </is>
      </c>
      <c r="B3970" s="2" t="inlineStr">
        <is>
          <t>MSI</t>
        </is>
      </c>
      <c r="C3970" s="2" t="inlineStr">
        <is>
          <t>9S7-182253-415</t>
        </is>
      </c>
      <c r="D3970" s="2" t="inlineStr">
        <is>
          <t>Ноутбук MSI CreatorPro X18 HX A14VMG-415RU Core i9 14900HX 64Gb SSD4Tb NVIDIA RTX A5000 16Gb 18" IPS UHD+ (3840x2400) Windows 11 Professional grey WiFi BT Cam (9S7-182253-415)</t>
        </is>
      </c>
      <c r="E3970" s="2" t="inlineStr">
        <is>
          <t>+ </t>
        </is>
      </c>
      <c r="F3970" s="2" t="inlineStr">
        <is>
          <t>+ </t>
        </is>
      </c>
      <c r="H3970" s="2">
        <v>8012</v>
      </c>
      <c r="I3970" s="2" t="inlineStr">
        <is>
          <t>$</t>
        </is>
      </c>
      <c r="J3970" s="2">
        <f>HYPERLINK("https://app.astro.lead-studio.pro/product/3a5373c1-ad14-448e-97fb-89e79d0f5915")</f>
      </c>
    </row>
    <row r="3971" spans="1:10" customHeight="0">
      <c r="A3971" s="2" t="inlineStr">
        <is>
          <t>Ноутбуки</t>
        </is>
      </c>
      <c r="B3971" s="2" t="inlineStr">
        <is>
          <t>MSI</t>
        </is>
      </c>
      <c r="C3971" s="2" t="inlineStr">
        <is>
          <t>9S7-15G311-054</t>
        </is>
      </c>
      <c r="D3971" s="2" t="inlineStr">
        <is>
          <t>Ноутбук MSI CreatorPro Z16 HX Studio A13VKTA-054XRU Core i9 13980HX 32Gb SSD1Tb NVIDIA RTX 3000 8Gb 16" IPS Touch QHD+ (2560x1600) noOS grey WiFi BT Cam (9S7-15G311-054)</t>
        </is>
      </c>
      <c r="E3971" s="2" t="inlineStr">
        <is>
          <t>+ </t>
        </is>
      </c>
      <c r="F3971" s="2" t="inlineStr">
        <is>
          <t>+ </t>
        </is>
      </c>
      <c r="H3971" s="2">
        <v>3104</v>
      </c>
      <c r="I3971" s="2" t="inlineStr">
        <is>
          <t>$</t>
        </is>
      </c>
      <c r="J3971" s="2">
        <f>HYPERLINK("https://app.astro.lead-studio.pro/product/36e869b1-56e0-45c9-8b6c-bc6ca9445c47")</f>
      </c>
    </row>
    <row r="3972" spans="1:10" customHeight="0">
      <c r="A3972" s="2" t="inlineStr">
        <is>
          <t>Ноутбуки</t>
        </is>
      </c>
      <c r="B3972" s="2" t="inlineStr">
        <is>
          <t>MSI</t>
        </is>
      </c>
      <c r="C3972" s="2" t="inlineStr">
        <is>
          <t>9S7-15G311-055</t>
        </is>
      </c>
      <c r="D3972" s="2" t="inlineStr">
        <is>
          <t>Ноутбук MSI CreatorPro Z16 HX Studio A13VKTA-055XRU Core i7 13700HX 32Gb SSD1Tb NVIDIA RTX 3000 8Gb 16" IPS Touch QHD+ (2560x1600) noOS grey WiFi BT Cam (9S7-15G311-055)</t>
        </is>
      </c>
      <c r="E3972" s="2" t="inlineStr">
        <is>
          <t>+ </t>
        </is>
      </c>
      <c r="F3972" s="2" t="inlineStr">
        <is>
          <t>+ </t>
        </is>
      </c>
      <c r="H3972" s="2">
        <v>2834</v>
      </c>
      <c r="I3972" s="2" t="inlineStr">
        <is>
          <t>$</t>
        </is>
      </c>
      <c r="J3972" s="2">
        <f>HYPERLINK("https://app.astro.lead-studio.pro/product/3204b786-1ca1-41e2-aadf-dde663551761")</f>
      </c>
    </row>
    <row r="3973" spans="1:10" customHeight="0">
      <c r="A3973" s="2" t="inlineStr">
        <is>
          <t>Ноутбуки</t>
        </is>
      </c>
      <c r="B3973" s="2" t="inlineStr">
        <is>
          <t>MSI</t>
        </is>
      </c>
      <c r="C3973" s="2" t="inlineStr">
        <is>
          <t>9S7-15K111-1223</t>
        </is>
      </c>
      <c r="D3973" s="2" t="inlineStr">
        <is>
          <t>Ноутбук MSI Cyborg 15 A13VF-1223XRU Core i5 13420H 16Gb SSD512Gb NVIDIA GeForce RTX4060 8Gb 15.6" IPS FHD (1920x1080) FreeDOS black WiFi BT Cam (9S7-15K111-1223)</t>
        </is>
      </c>
      <c r="E3973" s="2" t="inlineStr">
        <is>
          <t>+ </t>
        </is>
      </c>
      <c r="F3973" s="2" t="inlineStr">
        <is>
          <t>+ </t>
        </is>
      </c>
      <c r="H3973" s="2">
        <v>1345</v>
      </c>
      <c r="I3973" s="2" t="inlineStr">
        <is>
          <t>$</t>
        </is>
      </c>
      <c r="J3973" s="2">
        <f>HYPERLINK("https://app.astro.lead-studio.pro/product/4ffb8224-71b8-43a0-b388-d6d187ee1c63")</f>
      </c>
    </row>
    <row r="3974" spans="1:10" customHeight="0">
      <c r="A3974" s="2" t="inlineStr">
        <is>
          <t>Ноутбуки</t>
        </is>
      </c>
      <c r="B3974" s="2" t="inlineStr">
        <is>
          <t>MSI</t>
        </is>
      </c>
      <c r="C3974" s="2" t="inlineStr">
        <is>
          <t>9S7-15K111-1615</t>
        </is>
      </c>
      <c r="D3974" s="2" t="inlineStr">
        <is>
          <t>Ноутбук MSI Cyborg 15 A13VF-1615XRU Core i7 13620H 32Gb SSD512Gb NVIDIA GeForce RTX4060 8Gb 15.6" IPS FHD (1920x1080) FreeDOS black WiFi BT Cam (9S7-15K111-1615)</t>
        </is>
      </c>
      <c r="E3974" s="2" t="inlineStr">
        <is>
          <t>+ </t>
        </is>
      </c>
      <c r="F3974" s="2" t="inlineStr">
        <is>
          <t>+ </t>
        </is>
      </c>
      <c r="H3974" s="2">
        <v>1526</v>
      </c>
      <c r="I3974" s="2" t="inlineStr">
        <is>
          <t>$</t>
        </is>
      </c>
      <c r="J3974" s="2">
        <f>HYPERLINK("https://app.astro.lead-studio.pro/product/f5b08689-3fdb-4fed-a783-5c586ed0209e")</f>
      </c>
    </row>
    <row r="3975" spans="1:10" customHeight="0">
      <c r="A3975" s="2" t="inlineStr">
        <is>
          <t>Ноутбуки</t>
        </is>
      </c>
      <c r="B3975" s="2" t="inlineStr">
        <is>
          <t>MSI</t>
        </is>
      </c>
      <c r="C3975" s="2" t="inlineStr">
        <is>
          <t>9S7-16R821-1037</t>
        </is>
      </c>
      <c r="D3975" s="2" t="inlineStr">
        <is>
          <t>Ноутбук MSI GF63 Thin 12UCX-1037XRU Core i5 12450H 16Gb SSD256Gb NVIDIA GeForce RTX 2050 4Gb 15.6" IPS FHD (1920x1080) FreeDOS black WiFi BT Cam (9S7-16R821-1037)</t>
        </is>
      </c>
      <c r="E3975" s="2" t="inlineStr">
        <is>
          <t>+ </t>
        </is>
      </c>
      <c r="F3975" s="2" t="inlineStr">
        <is>
          <t>+ </t>
        </is>
      </c>
      <c r="H3975" s="2">
        <v>826</v>
      </c>
      <c r="I3975" s="2" t="inlineStr">
        <is>
          <t>$</t>
        </is>
      </c>
      <c r="J3975" s="2">
        <f>HYPERLINK("https://app.astro.lead-studio.pro/product/c1473de0-ea52-472e-bb47-3bea82bef9da")</f>
      </c>
    </row>
    <row r="3976" spans="1:10" customHeight="0">
      <c r="A3976" s="2" t="inlineStr">
        <is>
          <t>Ноутбуки</t>
        </is>
      </c>
      <c r="B3976" s="2" t="inlineStr">
        <is>
          <t>MSI</t>
        </is>
      </c>
      <c r="C3976" s="2" t="inlineStr">
        <is>
          <t>9S7-17L541-1428</t>
        </is>
      </c>
      <c r="D3976" s="2" t="inlineStr">
        <is>
          <t>Ноутбук MSI Katana 17 B13UCX-1428XRU Core i5 13420H 16Gb SSD512Gb NVIDIA GeForce RTX 2050 4Gb 17.3" IPS FHD (1920x1080) без ОС black WiFi BT Cam (9S7-17L541-1428)</t>
        </is>
      </c>
      <c r="E3976" s="2" t="inlineStr">
        <is>
          <t>+ </t>
        </is>
      </c>
      <c r="F3976" s="2" t="inlineStr">
        <is>
          <t>+ </t>
        </is>
      </c>
      <c r="H3976" s="2">
        <v>1059</v>
      </c>
      <c r="I3976" s="2" t="inlineStr">
        <is>
          <t>$</t>
        </is>
      </c>
      <c r="J3976" s="2">
        <f>HYPERLINK("https://app.astro.lead-studio.pro/product/de524094-2603-456d-95a7-f610c3aa3dce")</f>
      </c>
    </row>
    <row r="3977" spans="1:10" customHeight="0">
      <c r="A3977" s="2" t="inlineStr">
        <is>
          <t>Ноутбуки</t>
        </is>
      </c>
      <c r="B3977" s="2" t="inlineStr">
        <is>
          <t>MSI</t>
        </is>
      </c>
      <c r="C3977" s="2" t="inlineStr">
        <is>
          <t>9S7-14J111-239</t>
        </is>
      </c>
      <c r="D3977" s="2" t="inlineStr">
        <is>
          <t>Ноутбук MSI Modern 14 C12M-239RU Core i5 1235U 8Gb SSD512Gb Intel Iris Xe graphics 14" IPS FHD (1920x1080) Windows 11 Home silver WiFi BT Cam (9S7-14J111-239)</t>
        </is>
      </c>
      <c r="E3977" s="2" t="inlineStr">
        <is>
          <t>+ </t>
        </is>
      </c>
      <c r="F3977" s="2" t="inlineStr">
        <is>
          <t>+ </t>
        </is>
      </c>
      <c r="H3977" s="2">
        <v>589</v>
      </c>
      <c r="I3977" s="2" t="inlineStr">
        <is>
          <t>$</t>
        </is>
      </c>
      <c r="J3977" s="2">
        <f>HYPERLINK("https://app.astro.lead-studio.pro/product/7024022e-fca5-486a-a0c4-6a4edf37f216")</f>
      </c>
    </row>
    <row r="3978" spans="1:10" customHeight="0">
      <c r="A3978" s="2" t="inlineStr">
        <is>
          <t>Ноутбуки</t>
        </is>
      </c>
      <c r="B3978" s="2" t="inlineStr">
        <is>
          <t>MSI</t>
        </is>
      </c>
      <c r="C3978" s="2" t="inlineStr">
        <is>
          <t>9S7-14J111-689</t>
        </is>
      </c>
      <c r="D3978" s="2" t="inlineStr">
        <is>
          <t>Ноутбук MSI Modern 14 C12MO-689RU Core i5 1235U 16Gb SSD512Gb Intel Iris Xe graphics 14" IPS FHD (1920x1080) Windows 11 Pro silver WiFi BT Cam (9S7-14J111-689)</t>
        </is>
      </c>
      <c r="E3978" s="2" t="inlineStr">
        <is>
          <t>+++ </t>
        </is>
      </c>
      <c r="F3978" s="2" t="inlineStr">
        <is>
          <t>+++ </t>
        </is>
      </c>
      <c r="H3978" s="2">
        <v>839</v>
      </c>
      <c r="I3978" s="2" t="inlineStr">
        <is>
          <t>$</t>
        </is>
      </c>
      <c r="J3978" s="2">
        <f>HYPERLINK("https://app.astro.lead-studio.pro/product/91838f74-7677-4be6-9cb9-7dfe1a7c5eb6")</f>
      </c>
    </row>
    <row r="3979" spans="1:10" customHeight="0">
      <c r="A3979" s="2" t="inlineStr">
        <is>
          <t>Ноутбуки</t>
        </is>
      </c>
      <c r="B3979" s="2" t="inlineStr">
        <is>
          <t>MSI</t>
        </is>
      </c>
      <c r="C3979" s="2" t="inlineStr">
        <is>
          <t>9S7-14JK12-048</t>
        </is>
      </c>
      <c r="D3979" s="2" t="inlineStr">
        <is>
          <t>Ноутбук MSI Modern 14 C7M-048US Ryzen 7 7730U 16Gb SSD512Gb AMD Radeon 14" IPS FHD (1920x1080) Windows 11 Home Multi Language black WiFi BT Cam (9S7-14JK12-048)</t>
        </is>
      </c>
      <c r="E3979" s="2" t="inlineStr">
        <is>
          <t>+ </t>
        </is>
      </c>
      <c r="F3979" s="2" t="inlineStr">
        <is>
          <t>+ </t>
        </is>
      </c>
      <c r="H3979" s="2">
        <v>725</v>
      </c>
      <c r="I3979" s="2" t="inlineStr">
        <is>
          <t>$</t>
        </is>
      </c>
      <c r="J3979" s="2">
        <f>HYPERLINK("https://app.astro.lead-studio.pro/product/c0420e5a-902c-42f6-a8ff-eb489473e61c")</f>
      </c>
    </row>
    <row r="3980" spans="1:10" customHeight="0">
      <c r="A3980" s="2" t="inlineStr">
        <is>
          <t>Ноутбуки</t>
        </is>
      </c>
      <c r="B3980" s="2" t="inlineStr">
        <is>
          <t>MSI</t>
        </is>
      </c>
      <c r="C3980" s="2" t="inlineStr">
        <is>
          <t>9S7-14JK12-238</t>
        </is>
      </c>
      <c r="D3980" s="2" t="inlineStr">
        <is>
          <t>Ноутбук MSI Modern 14 C7M-238RU Ryzen 5 7530U 8Gb SSD512Gb AMD Radeon 14" IPS FHD (1920x1080) Windows 11 Home black WiFi BT Cam (9S7-14JK12-238)</t>
        </is>
      </c>
      <c r="E3980" s="2" t="inlineStr">
        <is>
          <t>+ </t>
        </is>
      </c>
      <c r="F3980" s="2" t="inlineStr">
        <is>
          <t>+ </t>
        </is>
      </c>
      <c r="H3980" s="2">
        <v>661</v>
      </c>
      <c r="I3980" s="2" t="inlineStr">
        <is>
          <t>$</t>
        </is>
      </c>
      <c r="J3980" s="2">
        <f>HYPERLINK("https://app.astro.lead-studio.pro/product/38ecc13f-d3d9-41c5-b9a2-55b541f4ab93")</f>
      </c>
    </row>
    <row r="3981" spans="1:10" customHeight="0">
      <c r="A3981" s="2" t="inlineStr">
        <is>
          <t>Ноутбуки</t>
        </is>
      </c>
      <c r="B3981" s="2" t="inlineStr">
        <is>
          <t>MSI</t>
        </is>
      </c>
      <c r="C3981" s="2" t="inlineStr">
        <is>
          <t>9S7-14JK12-239</t>
        </is>
      </c>
      <c r="D3981" s="2" t="inlineStr">
        <is>
          <t>Ноутбук MSI Modern 14 C7M-239XRU Ryzen 5 7530U 8Gb SSD512Gb AMD Radeon 14" IPS FHD (1920x1080) FreeDOS black WiFi BT Cam (9S7-14JK12-239)</t>
        </is>
      </c>
      <c r="E3981" s="2" t="inlineStr">
        <is>
          <t>+ </t>
        </is>
      </c>
      <c r="F3981" s="2" t="inlineStr">
        <is>
          <t>+ </t>
        </is>
      </c>
      <c r="H3981" s="2">
        <v>547</v>
      </c>
      <c r="I3981" s="2" t="inlineStr">
        <is>
          <t>$</t>
        </is>
      </c>
      <c r="J3981" s="2">
        <f>HYPERLINK("https://app.astro.lead-studio.pro/product/b38bdbad-b5dc-4569-a11f-71e1135c8be5")</f>
      </c>
    </row>
    <row r="3982" spans="1:10" customHeight="0">
      <c r="A3982" s="2" t="inlineStr">
        <is>
          <t>Ноутбуки</t>
        </is>
      </c>
      <c r="B3982" s="2" t="inlineStr">
        <is>
          <t>MSI</t>
        </is>
      </c>
      <c r="C3982" s="2" t="inlineStr">
        <is>
          <t>9S7-14S121-069</t>
        </is>
      </c>
      <c r="D3982" s="2" t="inlineStr">
        <is>
          <t>Ноутбук MSI Modern 14 F13MG-069XRU Core i7 1355U 16Gb SSD512Gb Intel Iris Xe graphics 14" IPS FHD (1920x1080) Free DOS grey WiFi BT Cam (9S7-14S121-069)</t>
        </is>
      </c>
      <c r="E3982" s="2" t="inlineStr">
        <is>
          <t>+++ </t>
        </is>
      </c>
      <c r="F3982" s="2" t="inlineStr">
        <is>
          <t>+++ </t>
        </is>
      </c>
      <c r="H3982" s="2">
        <v>812</v>
      </c>
      <c r="I3982" s="2" t="inlineStr">
        <is>
          <t>$</t>
        </is>
      </c>
      <c r="J3982" s="2">
        <f>HYPERLINK("https://app.astro.lead-studio.pro/product/ca59461b-b520-4b35-ac77-b71ac847167d")</f>
      </c>
    </row>
    <row r="3983" spans="1:10" customHeight="0">
      <c r="A3983" s="2" t="inlineStr">
        <is>
          <t>Ноутбуки</t>
        </is>
      </c>
      <c r="B3983" s="2" t="inlineStr">
        <is>
          <t>MSI</t>
        </is>
      </c>
      <c r="C3983" s="2" t="inlineStr">
        <is>
          <t>9S7-14S121-207</t>
        </is>
      </c>
      <c r="D3983" s="2" t="inlineStr">
        <is>
          <t>Ноутбук MSI Modern 14 F13MG-207RU Core i7 1355U 16Gb SSD512Gb Intel Iris Xe graphics 14" IPS FHD (1920x1080) Windows 11 Home grey WiFi BT Cam (9S7-14S121-207)</t>
        </is>
      </c>
      <c r="E3983" s="2" t="inlineStr">
        <is>
          <t>+ </t>
        </is>
      </c>
      <c r="F3983" s="2" t="inlineStr">
        <is>
          <t>+ </t>
        </is>
      </c>
      <c r="H3983" s="2">
        <v>915</v>
      </c>
      <c r="I3983" s="2" t="inlineStr">
        <is>
          <t>$</t>
        </is>
      </c>
      <c r="J3983" s="2">
        <f>HYPERLINK("https://app.astro.lead-studio.pro/product/13dd7340-a943-4771-b5eb-e1de369c0a1b")</f>
      </c>
    </row>
    <row r="3984" spans="1:10" customHeight="0">
      <c r="A3984" s="2" t="inlineStr">
        <is>
          <t>Ноутбуки</t>
        </is>
      </c>
      <c r="B3984" s="2" t="inlineStr">
        <is>
          <t>MSI</t>
        </is>
      </c>
      <c r="C3984" s="2" t="inlineStr">
        <is>
          <t>9S7-14S121-208</t>
        </is>
      </c>
      <c r="D3984" s="2" t="inlineStr">
        <is>
          <t>Ноутбук MSI Modern 14 F13MG-208RU Core i7 1355U 16Gb SSD512Gb Intel Iris Xe graphics 14" IPS FHD (1920x1080) Windows 11 Professional grey WiFi BT Cam (9S7-14S121-208)</t>
        </is>
      </c>
      <c r="E3984" s="2" t="inlineStr">
        <is>
          <t>++ </t>
        </is>
      </c>
      <c r="F3984" s="2" t="inlineStr">
        <is>
          <t>++ </t>
        </is>
      </c>
      <c r="H3984" s="2">
        <v>1030</v>
      </c>
      <c r="I3984" s="2" t="inlineStr">
        <is>
          <t>$</t>
        </is>
      </c>
      <c r="J3984" s="2">
        <f>HYPERLINK("https://app.astro.lead-studio.pro/product/bdab912e-c6fe-4e68-a4b5-ebea220c7c5b")</f>
      </c>
    </row>
    <row r="3985" spans="1:10" customHeight="0">
      <c r="A3985" s="2" t="inlineStr">
        <is>
          <t>Ноутбуки</t>
        </is>
      </c>
      <c r="B3985" s="2" t="inlineStr">
        <is>
          <t>MSI</t>
        </is>
      </c>
      <c r="C3985" s="2" t="inlineStr">
        <is>
          <t>9S7-15H112-1017</t>
        </is>
      </c>
      <c r="D3985" s="2" t="inlineStr">
        <is>
          <t>Ноутбук MSI Modern 15 B13M-1017US Core i5 1335U 16Gb SSD512Gb Intel Iris Xe graphics 15.6" IPS FHD (1920x1080) Windows 11 Professional Multi Language black WiFi BT Cam (9S7-15H112-1017)</t>
        </is>
      </c>
      <c r="E3985" s="2" t="inlineStr">
        <is>
          <t>+++ </t>
        </is>
      </c>
      <c r="F3985" s="2" t="inlineStr">
        <is>
          <t>+++ </t>
        </is>
      </c>
      <c r="H3985" s="2">
        <v>785</v>
      </c>
      <c r="I3985" s="2" t="inlineStr">
        <is>
          <t>$</t>
        </is>
      </c>
      <c r="J3985" s="2">
        <f>HYPERLINK("https://app.astro.lead-studio.pro/product/4341044b-a1f4-4823-9f9a-f2696ef95478")</f>
      </c>
    </row>
    <row r="3986" spans="1:10" customHeight="0">
      <c r="A3986" s="2" t="inlineStr">
        <is>
          <t>Ноутбуки</t>
        </is>
      </c>
      <c r="B3986" s="2" t="inlineStr">
        <is>
          <t>MSI</t>
        </is>
      </c>
      <c r="C3986" s="2" t="inlineStr">
        <is>
          <t>9S7-15S122-087</t>
        </is>
      </c>
      <c r="D3986" s="2" t="inlineStr">
        <is>
          <t>Ноутбук MSI Modern 15 F13MG-087XRU Core i5 1335U 16Gb SSD1Tb Intel Iris Xe graphics 15.6" IPS FHD (1920x1080) FreeDOS silver WiFi BT Cam (9S7-15S122-087)</t>
        </is>
      </c>
      <c r="E3986" s="2" t="inlineStr">
        <is>
          <t>+ </t>
        </is>
      </c>
      <c r="F3986" s="2" t="inlineStr">
        <is>
          <t>+ </t>
        </is>
      </c>
      <c r="H3986" s="2">
        <v>756</v>
      </c>
      <c r="I3986" s="2" t="inlineStr">
        <is>
          <t>$</t>
        </is>
      </c>
      <c r="J3986" s="2">
        <f>HYPERLINK("https://app.astro.lead-studio.pro/product/c5c6b485-e35a-4bc5-98b9-d71124a26b0c")</f>
      </c>
    </row>
    <row r="3987" spans="1:10" customHeight="0">
      <c r="A3987" s="2" t="inlineStr">
        <is>
          <t>Ноутбуки</t>
        </is>
      </c>
      <c r="B3987" s="2" t="inlineStr">
        <is>
          <t>MSI</t>
        </is>
      </c>
      <c r="C3987" s="2" t="inlineStr">
        <is>
          <t>9S7-15S122-201</t>
        </is>
      </c>
      <c r="D3987" s="2" t="inlineStr">
        <is>
          <t>Ноутбук MSI Modern 15 F13MG-201XRU Core i5 1335U 16Gb SSD512Gb Intel Iris Xe graphics 15.6" IPS FHD (1920x1080) FreeDOS silver WiFi BT Cam (9S7-15S122-201)</t>
        </is>
      </c>
      <c r="E3987" s="2" t="inlineStr">
        <is>
          <t>++ </t>
        </is>
      </c>
      <c r="F3987" s="2" t="inlineStr">
        <is>
          <t>++ </t>
        </is>
      </c>
      <c r="H3987" s="2">
        <v>705</v>
      </c>
      <c r="I3987" s="2" t="inlineStr">
        <is>
          <t>$</t>
        </is>
      </c>
      <c r="J3987" s="2">
        <f>HYPERLINK("https://app.astro.lead-studio.pro/product/e1b73bb7-7094-444e-8b49-15585f6427a7")</f>
      </c>
    </row>
    <row r="3988" spans="1:10" customHeight="0">
      <c r="A3988" s="2" t="inlineStr">
        <is>
          <t>Ноутбуки</t>
        </is>
      </c>
      <c r="B3988" s="2" t="inlineStr">
        <is>
          <t>MSI</t>
        </is>
      </c>
      <c r="C3988" s="2" t="inlineStr">
        <is>
          <t>9S7-15S122-202</t>
        </is>
      </c>
      <c r="D3988" s="2" t="inlineStr">
        <is>
          <t>Ноутбук MSI Modern 15 F13MG-202XRU Core i7 1355U 16Gb SSD1Tb Intel Iris Xe graphics 15.6" IPS FHD (1920x1080) Free DOS silver WiFi BT Cam (9S7-15S122-202)</t>
        </is>
      </c>
      <c r="E3988" s="2" t="inlineStr">
        <is>
          <t>++ </t>
        </is>
      </c>
      <c r="F3988" s="2" t="inlineStr">
        <is>
          <t>++ </t>
        </is>
      </c>
      <c r="H3988" s="2">
        <v>895</v>
      </c>
      <c r="I3988" s="2" t="inlineStr">
        <is>
          <t>$</t>
        </is>
      </c>
      <c r="J3988" s="2">
        <f>HYPERLINK("https://app.astro.lead-studio.pro/product/b86189b8-307a-4669-ac32-aec99a55cd34")</f>
      </c>
    </row>
    <row r="3989" spans="1:10" customHeight="0">
      <c r="A3989" s="2" t="inlineStr">
        <is>
          <t>Ноутбуки</t>
        </is>
      </c>
      <c r="B3989" s="2" t="inlineStr">
        <is>
          <t>MSI</t>
        </is>
      </c>
      <c r="C3989" s="2" t="inlineStr">
        <is>
          <t>9S7-15S122-253</t>
        </is>
      </c>
      <c r="D3989" s="2" t="inlineStr">
        <is>
          <t>Ноутбук MSI Modern 15 F13MG-253RU Core i7 1355U 16Gb SSD512Gb Intel Iris Xe graphics 15.6" IPS FHD (1920x1080) Windows 11 Professional silver WiFi BT Cam (9S7-15S122-253)</t>
        </is>
      </c>
      <c r="E3989" s="2" t="inlineStr">
        <is>
          <t>+++ </t>
        </is>
      </c>
      <c r="F3989" s="2" t="inlineStr">
        <is>
          <t>+++ </t>
        </is>
      </c>
      <c r="H3989" s="2">
        <v>1058</v>
      </c>
      <c r="I3989" s="2" t="inlineStr">
        <is>
          <t>$</t>
        </is>
      </c>
      <c r="J3989" s="2">
        <f>HYPERLINK("https://app.astro.lead-studio.pro/product/65550b37-4fcd-48a0-ba68-0579cf5605b8")</f>
      </c>
    </row>
    <row r="3990" spans="1:10" customHeight="0">
      <c r="A3990" s="2" t="inlineStr">
        <is>
          <t>Ноутбуки</t>
        </is>
      </c>
      <c r="B3990" s="2" t="inlineStr">
        <is>
          <t>MSI</t>
        </is>
      </c>
      <c r="C3990" s="2" t="inlineStr">
        <is>
          <t>9S7-15S122-254</t>
        </is>
      </c>
      <c r="D3990" s="2" t="inlineStr">
        <is>
          <t>Ноутбук MSI Modern 15 F13MG-254RU Core i5 1335U 16Gb SSD512Gb Intel Iris Xe graphics 15.6" IPS FHD (1920x1080) Windows 11 Professional silver WiFi BT Cam (9S7-15S122-254)</t>
        </is>
      </c>
      <c r="E3990" s="2" t="inlineStr">
        <is>
          <t>+++ </t>
        </is>
      </c>
      <c r="F3990" s="2" t="inlineStr">
        <is>
          <t>+++ </t>
        </is>
      </c>
      <c r="H3990" s="2">
        <v>978</v>
      </c>
      <c r="I3990" s="2" t="inlineStr">
        <is>
          <t>$</t>
        </is>
      </c>
      <c r="J3990" s="2">
        <f>HYPERLINK("https://app.astro.lead-studio.pro/product/50b2bce8-c834-489c-b294-b397e407435c")</f>
      </c>
    </row>
    <row r="3991" spans="1:10" customHeight="0">
      <c r="A3991" s="2" t="inlineStr">
        <is>
          <t>Ноутбуки</t>
        </is>
      </c>
      <c r="B3991" s="2" t="inlineStr">
        <is>
          <t>MSI</t>
        </is>
      </c>
      <c r="C3991" s="2" t="inlineStr">
        <is>
          <t>9S7-14F112-635</t>
        </is>
      </c>
      <c r="D3991" s="2" t="inlineStr">
        <is>
          <t>Ноутбук MSI Prestige 14 EVO B13M-635US Core i5 13500H 32Gb SSD1Tb Intel Iris Xe graphics 14" IPS FHD+ (1920x1200) Windows 11 Professional Multi Language silver WiFi BT Cam (9S7-14F112-635)</t>
        </is>
      </c>
      <c r="E3991" s="2" t="inlineStr">
        <is>
          <t>++ </t>
        </is>
      </c>
      <c r="F3991" s="2" t="inlineStr">
        <is>
          <t>++ </t>
        </is>
      </c>
      <c r="H3991" s="2">
        <v>1249</v>
      </c>
      <c r="I3991" s="2" t="inlineStr">
        <is>
          <t>$</t>
        </is>
      </c>
      <c r="J3991" s="2">
        <f>HYPERLINK("https://app.astro.lead-studio.pro/product/9c496c22-51e1-41d9-a82a-ad170fd9a85b")</f>
      </c>
    </row>
    <row r="3992" spans="1:10" customHeight="0">
      <c r="A3992" s="2" t="inlineStr">
        <is>
          <t>Ноутбуки</t>
        </is>
      </c>
      <c r="B3992" s="2" t="inlineStr">
        <is>
          <t>MSI</t>
        </is>
      </c>
      <c r="C3992" s="2" t="inlineStr">
        <is>
          <t>9S7-14F122-608</t>
        </is>
      </c>
      <c r="D3992" s="2" t="inlineStr">
        <is>
          <t>Ноутбук MSI Prestige 14H B12UCX-608US Core i5 12500H 16Gb SSD512Gb NVIDIA GeForce RTX 2050 4Gb 14" IPS FHD+ (1920x1200) Windows 11 Home Multi Language silver WiFi BT Cam (9S7-14F122-608)</t>
        </is>
      </c>
      <c r="E3992" s="2" t="inlineStr">
        <is>
          <t>+++ </t>
        </is>
      </c>
      <c r="F3992" s="2" t="inlineStr">
        <is>
          <t>+++ </t>
        </is>
      </c>
      <c r="H3992" s="2">
        <v>989</v>
      </c>
      <c r="I3992" s="2" t="inlineStr">
        <is>
          <t>$</t>
        </is>
      </c>
      <c r="J3992" s="2">
        <f>HYPERLINK("https://app.astro.lead-studio.pro/product/705582b1-5636-41c7-9b23-fef7498e8114")</f>
      </c>
    </row>
    <row r="3993" spans="1:10" customHeight="0">
      <c r="A3993" s="2" t="inlineStr">
        <is>
          <t>Ноутбуки</t>
        </is>
      </c>
      <c r="B3993" s="2" t="inlineStr">
        <is>
          <t>MSI</t>
        </is>
      </c>
      <c r="C3993" s="2" t="inlineStr">
        <is>
          <t>9S7-15A211-080</t>
        </is>
      </c>
      <c r="D3993" s="2" t="inlineStr">
        <is>
          <t>Ноутбук MSI Prestige 16 AI Studio B1VEG-080RU Core Ultra 7 155H 16Gb SSD1Tb NVIDIA GeForce RTX4050 6Gb 16" IPS QHD+ (2560x1600) Windows 11 Home grey WiFi BT Cam (9S7-15A211-080)</t>
        </is>
      </c>
      <c r="E3993" s="2" t="inlineStr">
        <is>
          <t>+ </t>
        </is>
      </c>
      <c r="F3993" s="2" t="inlineStr">
        <is>
          <t>+ </t>
        </is>
      </c>
      <c r="H3993" s="2">
        <v>2309</v>
      </c>
      <c r="I3993" s="2" t="inlineStr">
        <is>
          <t>$</t>
        </is>
      </c>
      <c r="J3993" s="2">
        <f>HYPERLINK("https://app.astro.lead-studio.pro/product/ad279a9a-b942-4eed-9225-a4a5bb4fcc42")</f>
      </c>
    </row>
    <row r="3994" spans="1:10" customHeight="0">
      <c r="A3994" s="2" t="inlineStr">
        <is>
          <t>Ноутбуки</t>
        </is>
      </c>
      <c r="B3994" s="2" t="inlineStr">
        <is>
          <t>MSI</t>
        </is>
      </c>
      <c r="C3994" s="2" t="inlineStr">
        <is>
          <t>9S7-159222-403</t>
        </is>
      </c>
      <c r="D3994" s="2" t="inlineStr">
        <is>
          <t>Ноутбук MSI Prestige 16Evo A13M-403RU Core i5 13500H 16Gb SSD512Gb Intel Iris Xe graphics 16" IPS QHD+ (2560x1600) Windows 11 Home silver WiFi BT Cam (9S7-159222-403)</t>
        </is>
      </c>
      <c r="E3994" s="2" t="inlineStr">
        <is>
          <t>+ </t>
        </is>
      </c>
      <c r="F3994" s="2" t="inlineStr">
        <is>
          <t>+ </t>
        </is>
      </c>
      <c r="H3994" s="2">
        <v>1231</v>
      </c>
      <c r="I3994" s="2" t="inlineStr">
        <is>
          <t>$</t>
        </is>
      </c>
      <c r="J3994" s="2">
        <f>HYPERLINK("https://app.astro.lead-studio.pro/product/732e20a8-2dab-42df-aceb-9db22a283440")</f>
      </c>
    </row>
    <row r="3995" spans="1:10" customHeight="0">
      <c r="A3995" s="2" t="inlineStr">
        <is>
          <t>Ноутбуки</t>
        </is>
      </c>
      <c r="B3995" s="2" t="inlineStr">
        <is>
          <t>MSI</t>
        </is>
      </c>
      <c r="C3995" s="2" t="inlineStr">
        <is>
          <t>9S7-159222-411</t>
        </is>
      </c>
      <c r="D3995" s="2" t="inlineStr">
        <is>
          <t>Ноутбук MSI Prestige 16Evo A13M-411RU Core i5 13500H 16Gb SSD1Tb Intel Iris Xe graphics 16" IPS QHD+ (2560x1600) Windows 11 Pro silver WiFi BT Cam (9S7-159222-411)</t>
        </is>
      </c>
      <c r="E3995" s="2" t="inlineStr">
        <is>
          <t>+ </t>
        </is>
      </c>
      <c r="F3995" s="2" t="inlineStr">
        <is>
          <t>+ </t>
        </is>
      </c>
      <c r="H3995" s="2">
        <v>1393</v>
      </c>
      <c r="I3995" s="2" t="inlineStr">
        <is>
          <t>$</t>
        </is>
      </c>
      <c r="J3995" s="2">
        <f>HYPERLINK("https://app.astro.lead-studio.pro/product/55f085fb-c881-44b6-96bb-afb35bc27364")</f>
      </c>
    </row>
    <row r="3996" spans="1:10" customHeight="0">
      <c r="A3996" s="2" t="inlineStr">
        <is>
          <t>Ноутбуки</t>
        </is>
      </c>
      <c r="B3996" s="2" t="inlineStr">
        <is>
          <t>MSI</t>
        </is>
      </c>
      <c r="C3996" s="2" t="inlineStr">
        <is>
          <t>9S7-159222-413</t>
        </is>
      </c>
      <c r="D3996" s="2" t="inlineStr">
        <is>
          <t>Ноутбук MSI Prestige 16Evo A13M-413XRU Core i7 13700H 16Gb SSD1Tb Intel Iris Xe graphics 16" IPS QHD+ (2560x1600) FreeDOS silver WiFi BT Cam (9S7-159222-413)</t>
        </is>
      </c>
      <c r="E3996" s="2" t="inlineStr">
        <is>
          <t>+ </t>
        </is>
      </c>
      <c r="F3996" s="2" t="inlineStr">
        <is>
          <t>+ </t>
        </is>
      </c>
      <c r="H3996" s="2">
        <v>1305</v>
      </c>
      <c r="I3996" s="2" t="inlineStr">
        <is>
          <t>$</t>
        </is>
      </c>
      <c r="J3996" s="2">
        <f>HYPERLINK("https://app.astro.lead-studio.pro/product/1ed6b87f-f547-4cef-93f0-901964680bf8")</f>
      </c>
    </row>
    <row r="3997" spans="1:10" customHeight="0">
      <c r="A3997" s="2" t="inlineStr">
        <is>
          <t>Ноутбуки</t>
        </is>
      </c>
      <c r="B3997" s="2" t="inlineStr">
        <is>
          <t>MSI</t>
        </is>
      </c>
      <c r="C3997" s="2" t="inlineStr">
        <is>
          <t>9S7-159222-414</t>
        </is>
      </c>
      <c r="D3997" s="2" t="inlineStr">
        <is>
          <t>Ноутбук MSI Prestige 16Evo A13M-414XRU Core i5 13500H 16Gb SSD1Tb Intel Iris Xe graphics 16" IPS QHD+ (2560x1600) FreeDOS silver WiFi BT Cam (9S7-159222-414)</t>
        </is>
      </c>
      <c r="E3997" s="2" t="inlineStr">
        <is>
          <t>+ </t>
        </is>
      </c>
      <c r="F3997" s="2" t="inlineStr">
        <is>
          <t>+ </t>
        </is>
      </c>
      <c r="H3997" s="2">
        <v>1168</v>
      </c>
      <c r="I3997" s="2" t="inlineStr">
        <is>
          <t>$</t>
        </is>
      </c>
      <c r="J3997" s="2">
        <f>HYPERLINK("https://app.astro.lead-studio.pro/product/b9182f01-e7d7-4a0d-bb2a-17b7a2b40bf8")</f>
      </c>
    </row>
    <row r="3998" spans="1:10" customHeight="0">
      <c r="A3998" s="2" t="inlineStr">
        <is>
          <t>Ноутбуки</t>
        </is>
      </c>
      <c r="B3998" s="2" t="inlineStr">
        <is>
          <t>MSI</t>
        </is>
      </c>
      <c r="C3998" s="2" t="inlineStr">
        <is>
          <t>9S7-15P311-018</t>
        </is>
      </c>
      <c r="D3998" s="2" t="inlineStr">
        <is>
          <t>Ноутбук MSI Pulse 16 AI C1VGKG-018RU Core Ultra 7 155H 16Gb SSD1Tb NVIDIA GeForce RTX4070 8Gb 16" IPS QHD+ (2560x1600) Windows 11 Home black WiFi BT Cam (9S7-15P311-018)</t>
        </is>
      </c>
      <c r="E3998" s="2" t="inlineStr">
        <is>
          <t>+ </t>
        </is>
      </c>
      <c r="F3998" s="2" t="inlineStr">
        <is>
          <t>+ </t>
        </is>
      </c>
      <c r="H3998" s="2">
        <v>2239</v>
      </c>
      <c r="I3998" s="2" t="inlineStr">
        <is>
          <t>$</t>
        </is>
      </c>
      <c r="J3998" s="2">
        <f>HYPERLINK("https://app.astro.lead-studio.pro/product/f63aa99b-43ca-4674-afa9-93bc61d85d36")</f>
      </c>
    </row>
    <row r="3999" spans="1:10" customHeight="0">
      <c r="A3999" s="2" t="inlineStr">
        <is>
          <t>Ноутбуки</t>
        </is>
      </c>
      <c r="B3999" s="2" t="inlineStr">
        <is>
          <t>MSI</t>
        </is>
      </c>
      <c r="C3999" s="2" t="inlineStr">
        <is>
          <t>9S7-182K32-026</t>
        </is>
      </c>
      <c r="D3999" s="2" t="inlineStr">
        <is>
          <t>Ноутбук MSI Raider A18 HX A7VIG-026RU Ryzen 9 7945HX3D 32Gb SSD2Tb NVIDIA GeForce RTX4090 16Gb 18" IPS QHD+ (2560x1600) Windows 11 Home black WiFi BT Cam (9S7-182K32-026)</t>
        </is>
      </c>
      <c r="E3999" s="2" t="inlineStr">
        <is>
          <t>+ </t>
        </is>
      </c>
      <c r="F3999" s="2" t="inlineStr">
        <is>
          <t>+ </t>
        </is>
      </c>
      <c r="H3999" s="2">
        <v>4604</v>
      </c>
      <c r="I3999" s="2" t="inlineStr">
        <is>
          <t>$</t>
        </is>
      </c>
      <c r="J3999" s="2">
        <f>HYPERLINK("https://app.astro.lead-studio.pro/product/707cc2e7-f8e7-43a5-9fc6-5f8b878ea5be")</f>
      </c>
    </row>
    <row r="4000" spans="1:10" customHeight="0">
      <c r="A4000" s="2" t="inlineStr">
        <is>
          <t>Ноутбуки</t>
        </is>
      </c>
      <c r="B4000" s="2" t="inlineStr">
        <is>
          <t>MSI</t>
        </is>
      </c>
      <c r="C4000" s="2" t="inlineStr">
        <is>
          <t>9S7-15F312-061</t>
        </is>
      </c>
      <c r="D4000" s="2" t="inlineStr">
        <is>
          <t>Ноутбук MSI Stealth 16 AI Studio A1VHG-061RU Core Ultra 9 185H 32Gb SSD2Tb NVIDIA GeForce RTX4080 12Gb 16" IPS UHD+ (3840x2400) Windows 11 Home dk.blue WiFi BT Cam (9S7-15F312-061)</t>
        </is>
      </c>
      <c r="E4000" s="2" t="inlineStr">
        <is>
          <t>+ </t>
        </is>
      </c>
      <c r="F4000" s="2" t="inlineStr">
        <is>
          <t>+ </t>
        </is>
      </c>
      <c r="H4000" s="2">
        <v>3934</v>
      </c>
      <c r="I4000" s="2" t="inlineStr">
        <is>
          <t>$</t>
        </is>
      </c>
      <c r="J4000" s="2">
        <f>HYPERLINK("https://app.astro.lead-studio.pro/product/2beb1395-ae33-4186-881d-bc73ca5cdba0")</f>
      </c>
    </row>
    <row r="4001" spans="1:10" customHeight="0">
      <c r="A4001" s="2" t="inlineStr">
        <is>
          <t>Ноутбуки</t>
        </is>
      </c>
      <c r="B4001" s="2" t="inlineStr">
        <is>
          <t>MSI</t>
        </is>
      </c>
      <c r="C4001" s="2" t="inlineStr">
        <is>
          <t>9S7-159K21-084</t>
        </is>
      </c>
      <c r="D4001" s="2" t="inlineStr">
        <is>
          <t>Ноутбук MSI Summit A16 AI+ A3HMTG-084RU Ryzen AI 9 365 32Gb SSD2Tb AMD Radeon 880M 16" IPS Touch QHD+ (2560x1600) Windows 11 Home black WiFi BT Cam (9S7-159K21-084)</t>
        </is>
      </c>
      <c r="E4001" s="2" t="inlineStr">
        <is>
          <t>+ </t>
        </is>
      </c>
      <c r="F4001" s="2" t="inlineStr">
        <is>
          <t>+ </t>
        </is>
      </c>
      <c r="H4001" s="2">
        <v>2655</v>
      </c>
      <c r="I4001" s="2" t="inlineStr">
        <is>
          <t>$</t>
        </is>
      </c>
      <c r="J4001" s="2">
        <f>HYPERLINK("https://app.astro.lead-studio.pro/product/8a0babc9-434c-4c97-99f4-85d18405bfa1")</f>
      </c>
    </row>
    <row r="4002" spans="1:10" customHeight="0">
      <c r="A4002" s="2" t="inlineStr">
        <is>
          <t>Ноутбуки</t>
        </is>
      </c>
      <c r="B4002" s="2" t="inlineStr">
        <is>
          <t>MSI</t>
        </is>
      </c>
      <c r="C4002" s="2" t="inlineStr">
        <is>
          <t>9S7-159621-017</t>
        </is>
      </c>
      <c r="D4002" s="2" t="inlineStr">
        <is>
          <t>Ноутбук MSI Summit E16 AI Studio A1VETG-017RU Core Ultra 7 155H 16Gb SSD1Tb NVIDIA GeForce RTX4050 6Gb 16" IPS Touch QHD+ (2560x1600) Windows 11 Pro black WiFi BT Cam (9S7-159621-017)</t>
        </is>
      </c>
      <c r="E4002" s="2" t="inlineStr">
        <is>
          <t>+ </t>
        </is>
      </c>
      <c r="F4002" s="2" t="inlineStr">
        <is>
          <t>+ </t>
        </is>
      </c>
      <c r="H4002" s="2">
        <v>2182</v>
      </c>
      <c r="I4002" s="2" t="inlineStr">
        <is>
          <t>$</t>
        </is>
      </c>
      <c r="J4002" s="2">
        <f>HYPERLINK("https://app.astro.lead-studio.pro/product/6fd1a882-33fd-4529-8d02-6f1ef5eb7304")</f>
      </c>
    </row>
    <row r="4003" spans="1:10" customHeight="0">
      <c r="A4003" s="2" t="inlineStr">
        <is>
          <t>Ноутбуки</t>
        </is>
      </c>
      <c r="B4003" s="2" t="inlineStr">
        <is>
          <t>MSI</t>
        </is>
      </c>
      <c r="C4003" s="2" t="inlineStr">
        <is>
          <t>9S7-15P214-855</t>
        </is>
      </c>
      <c r="D4003" s="2" t="inlineStr">
        <is>
          <t>Ноутбук MSI Sword 16 HX B13VGKG-855XRU Core i7 13700HX 16Gb SSD1Tb NVIDIA GeForce RTX4070 8Gb 16" IPS FHD+ (1920x1200) FreeDOS grey space WiFi BT Cam (9S7-15P214-855)</t>
        </is>
      </c>
      <c r="E4003" s="2" t="inlineStr">
        <is>
          <t>+ </t>
        </is>
      </c>
      <c r="F4003" s="2" t="inlineStr">
        <is>
          <t>+ </t>
        </is>
      </c>
      <c r="H4003" s="2">
        <v>1856</v>
      </c>
      <c r="I4003" s="2" t="inlineStr">
        <is>
          <t>$</t>
        </is>
      </c>
      <c r="J4003" s="2">
        <f>HYPERLINK("https://app.astro.lead-studio.pro/product/25ca6e3d-dfaa-466a-b804-2c2f6eea1a52")</f>
      </c>
    </row>
    <row r="4004" spans="1:10" customHeight="0">
      <c r="A4004" s="2" t="inlineStr">
        <is>
          <t>Ноутбуки</t>
        </is>
      </c>
      <c r="B4004" s="2" t="inlineStr">
        <is>
          <t>MSI</t>
        </is>
      </c>
      <c r="C4004" s="2" t="inlineStr">
        <is>
          <t>9S7-17T214-221</t>
        </is>
      </c>
      <c r="D4004" s="2" t="inlineStr">
        <is>
          <t>Ноутбук MSI Sword 17 HX B13VFKG-221XRU Core i7 13700HX 32Gb SSD1Tb NVIDIA GeForce RTX4060 8Gb 17" IPS FHD+ (1920x1200) FreeDOS grey space WiFi BT Cam (9S7-17T214-221)</t>
        </is>
      </c>
      <c r="E4004" s="2" t="inlineStr">
        <is>
          <t>+++ </t>
        </is>
      </c>
      <c r="F4004" s="2" t="inlineStr">
        <is>
          <t>+++ </t>
        </is>
      </c>
      <c r="H4004" s="2">
        <v>1892</v>
      </c>
      <c r="I4004" s="2" t="inlineStr">
        <is>
          <t>$</t>
        </is>
      </c>
      <c r="J4004" s="2">
        <f>HYPERLINK("https://app.astro.lead-studio.pro/product/46494958-fc85-4d4b-bd46-33d09a855d12")</f>
      </c>
    </row>
    <row r="4005" spans="1:10" customHeight="0">
      <c r="A4005" s="2" t="inlineStr">
        <is>
          <t>Ноутбуки</t>
        </is>
      </c>
      <c r="B4005" s="2" t="inlineStr">
        <is>
          <t>MSI</t>
        </is>
      </c>
      <c r="C4005" s="2" t="inlineStr">
        <is>
          <t>9S7-17T214-046</t>
        </is>
      </c>
      <c r="D4005" s="2" t="inlineStr">
        <is>
          <t>Ноутбук MSI Sword 17 HX B14VFKG-046XRU Core i9 14900HX 16Gb SSD1Tb NVIDIA GeForce RTX4060 8Gb 17" IPS FHD+ (1920x1200) без ОС grey space WiFi BT Cam (9S7-17T214-046)</t>
        </is>
      </c>
      <c r="E4005" s="2" t="inlineStr">
        <is>
          <t>+ </t>
        </is>
      </c>
      <c r="F4005" s="2" t="inlineStr">
        <is>
          <t>+ </t>
        </is>
      </c>
      <c r="H4005" s="2">
        <v>2020</v>
      </c>
      <c r="I4005" s="2" t="inlineStr">
        <is>
          <t>$</t>
        </is>
      </c>
      <c r="J4005" s="2">
        <f>HYPERLINK("https://app.astro.lead-studio.pro/product/06d09546-adbb-426d-84b6-47890effa9e3")</f>
      </c>
    </row>
    <row r="4006" spans="1:10" customHeight="0">
      <c r="A4006" s="2" t="inlineStr">
        <is>
          <t>Ноутбуки</t>
        </is>
      </c>
      <c r="B4006" s="2" t="inlineStr">
        <is>
          <t>MSI</t>
        </is>
      </c>
      <c r="C4006" s="2" t="inlineStr">
        <is>
          <t>9S7-17T214-048</t>
        </is>
      </c>
      <c r="D4006" s="2" t="inlineStr">
        <is>
          <t>Ноутбук MSI Sword 17 HX B14VGKG-048XRU Core i9 14900HX 16Gb SSD1Tb NVIDIA GeForce RTX4070 8Gb 17" IPS QHD+ (2560x1600) без ОС grey space WiFi BT Cam (9S7-17T214-048)</t>
        </is>
      </c>
      <c r="E4006" s="2" t="inlineStr">
        <is>
          <t>+ </t>
        </is>
      </c>
      <c r="F4006" s="2" t="inlineStr">
        <is>
          <t>+ </t>
        </is>
      </c>
      <c r="H4006" s="2">
        <v>2438</v>
      </c>
      <c r="I4006" s="2" t="inlineStr">
        <is>
          <t>$</t>
        </is>
      </c>
      <c r="J4006" s="2">
        <f>HYPERLINK("https://app.astro.lead-studio.pro/product/10ce5b51-ae19-40fb-b603-157f1453af11")</f>
      </c>
    </row>
    <row r="4007" spans="1:10" customHeight="0">
      <c r="A4007" s="2" t="inlineStr">
        <is>
          <t>Ноутбуки</t>
        </is>
      </c>
      <c r="B4007" s="2" t="inlineStr">
        <is>
          <t>MSI</t>
        </is>
      </c>
      <c r="C4007" s="2" t="inlineStr">
        <is>
          <t>9S7-16R831-1628</t>
        </is>
      </c>
      <c r="D4007" s="2" t="inlineStr">
        <is>
          <t>Ноутбук MSI Thin 15 B12UC-1628XRU Core i7 12650H 16Gb SSD512Gb NVIDIA GeForce RTX 3050 4Gb 15.6" IPS FHD (1920x1080) FreeDOS grey WiFi BT Cam (9S7-16R831-1628)</t>
        </is>
      </c>
      <c r="E4007" s="2" t="inlineStr">
        <is>
          <t>++ </t>
        </is>
      </c>
      <c r="F4007" s="2" t="inlineStr">
        <is>
          <t>++ </t>
        </is>
      </c>
      <c r="H4007" s="2">
        <v>1055</v>
      </c>
      <c r="I4007" s="2" t="inlineStr">
        <is>
          <t>$</t>
        </is>
      </c>
      <c r="J4007" s="2">
        <f>HYPERLINK("https://app.astro.lead-studio.pro/product/996c53a8-8de2-406f-9d68-e7e10a5e1af5")</f>
      </c>
    </row>
    <row r="4008" spans="1:10" customHeight="0">
      <c r="A4008" s="2" t="inlineStr">
        <is>
          <t>Ноутбуки</t>
        </is>
      </c>
      <c r="B4008" s="2" t="inlineStr">
        <is>
          <t>MSI</t>
        </is>
      </c>
      <c r="C4008" s="2" t="inlineStr">
        <is>
          <t>9S7-16R831-2632</t>
        </is>
      </c>
      <c r="D4008" s="2" t="inlineStr">
        <is>
          <t>Ноутбук MSI Thin 15 B12UC-2632XRU Core i5 12450H 16Gb SSD512Gb NVIDIA GeForce RTX 3050 4Gb 15.6" IPS FHD (1920x1080) FreeDOS grey WiFi BT Cam (9S7-16R831-2632)</t>
        </is>
      </c>
      <c r="E4008" s="2" t="inlineStr">
        <is>
          <t>+ </t>
        </is>
      </c>
      <c r="F4008" s="2" t="inlineStr">
        <is>
          <t>+ </t>
        </is>
      </c>
      <c r="H4008" s="2">
        <v>899</v>
      </c>
      <c r="I4008" s="2" t="inlineStr">
        <is>
          <t>$</t>
        </is>
      </c>
      <c r="J4008" s="2">
        <f>HYPERLINK("https://app.astro.lead-studio.pro/product/239d80cf-35e9-42e2-b0a4-2e1a3f07a445")</f>
      </c>
    </row>
    <row r="4009" spans="1:10" customHeight="0">
      <c r="A4009" s="2" t="inlineStr">
        <is>
          <t>Ноутбуки</t>
        </is>
      </c>
      <c r="B4009" s="2" t="inlineStr">
        <is>
          <t>MSI</t>
        </is>
      </c>
      <c r="C4009" s="2" t="inlineStr">
        <is>
          <t>9S7-16R831-2633</t>
        </is>
      </c>
      <c r="D4009" s="2" t="inlineStr">
        <is>
          <t>Ноутбук MSI Thin 15 B12UCX-2633XRU Core i5 12450H 16Gb SSD512Gb NVIDIA GeForce RTX 2050 4Gb 15.6" IPS FHD (1920x1080) FreeDOS grey WiFi BT Cam (9S7-16R831-2633)</t>
        </is>
      </c>
      <c r="E4009" s="2" t="inlineStr">
        <is>
          <t>++ </t>
        </is>
      </c>
      <c r="F4009" s="2" t="inlineStr">
        <is>
          <t>++ </t>
        </is>
      </c>
      <c r="H4009" s="2">
        <v>810</v>
      </c>
      <c r="I4009" s="2" t="inlineStr">
        <is>
          <t>$</t>
        </is>
      </c>
      <c r="J4009" s="2">
        <f>HYPERLINK("https://app.astro.lead-studio.pro/product/7673b56c-44d1-45e5-9f77-900f190ad964")</f>
      </c>
    </row>
    <row r="4010" spans="1:10" customHeight="0">
      <c r="A4010" s="2" t="inlineStr">
        <is>
          <t>Ноутбуки</t>
        </is>
      </c>
      <c r="B4010" s="2" t="inlineStr">
        <is>
          <t>MSI</t>
        </is>
      </c>
      <c r="C4010" s="2" t="inlineStr">
        <is>
          <t>9S7-16R831-1451</t>
        </is>
      </c>
      <c r="D4010" s="2" t="inlineStr">
        <is>
          <t>Ноутбук MSI Thin 15 B13BVE-1451US Core i5 13420H 16Gb SSD512Gb NVIDIA GeForce RTX4050 6Gb 15.6" IPS FHD (1920x1080) Windows 11 Home Multi Language grey WiFi BT Cam (9S7-16R831-1451)</t>
        </is>
      </c>
      <c r="E4010" s="2" t="inlineStr">
        <is>
          <t>++ </t>
        </is>
      </c>
      <c r="F4010" s="2" t="inlineStr">
        <is>
          <t>++ </t>
        </is>
      </c>
      <c r="H4010" s="2">
        <v>1106</v>
      </c>
      <c r="I4010" s="2" t="inlineStr">
        <is>
          <t>$</t>
        </is>
      </c>
      <c r="J4010" s="2">
        <f>HYPERLINK("https://app.astro.lead-studio.pro/product/d280cee3-9599-44c7-b43d-95b154ec317c")</f>
      </c>
    </row>
    <row r="4011" spans="1:10" customHeight="0">
      <c r="A4011" s="2" t="inlineStr">
        <is>
          <t>Ноутбуки</t>
        </is>
      </c>
      <c r="B4011" s="2" t="inlineStr">
        <is>
          <t>MSI</t>
        </is>
      </c>
      <c r="C4011" s="2" t="inlineStr">
        <is>
          <t>9S7-16R831-2650</t>
        </is>
      </c>
      <c r="D4011" s="2" t="inlineStr">
        <is>
          <t>Ноутбук MSI Thin 15 B13VE-2650XRU Core i5 13420H 16Gb SSD512Gb NVIDIA GeForce RTX4050 6Gb 15.6" IPS FHD (1920x1080) FreeDOS grey space WiFi BT Cam (9S7-16R831-2650)</t>
        </is>
      </c>
      <c r="E4011" s="2" t="inlineStr">
        <is>
          <t>+ </t>
        </is>
      </c>
      <c r="F4011" s="2" t="inlineStr">
        <is>
          <t>+ </t>
        </is>
      </c>
      <c r="H4011" s="2">
        <v>1168</v>
      </c>
      <c r="I4011" s="2" t="inlineStr">
        <is>
          <t>$</t>
        </is>
      </c>
      <c r="J4011" s="2">
        <f>HYPERLINK("https://app.astro.lead-studio.pro/product/1493e863-2e80-4bdb-b08c-f254d5028500")</f>
      </c>
    </row>
    <row r="4012" spans="1:10" customHeight="0">
      <c r="A4012" s="2" t="inlineStr">
        <is>
          <t>Ноутбуки</t>
        </is>
      </c>
      <c r="B4012" s="2" t="inlineStr">
        <is>
          <t>MSI</t>
        </is>
      </c>
      <c r="C4012" s="2" t="inlineStr">
        <is>
          <t>9S7-16RK11-283</t>
        </is>
      </c>
      <c r="D4012" s="2" t="inlineStr">
        <is>
          <t>Ноутбук MSI Thin A15 B7UC-283XRU Ryzen 7 7735HS 8Gb SSD512Gb NVIDIA GeForce RTX 3050 4Gb 15.6" IPS FHD (1920x1080) FreeDOS grey space WiFi BT Cam (9S7-16RK11-283)</t>
        </is>
      </c>
      <c r="E4012" s="2" t="inlineStr">
        <is>
          <t>+ </t>
        </is>
      </c>
      <c r="F4012" s="2" t="inlineStr">
        <is>
          <t>+ </t>
        </is>
      </c>
      <c r="H4012" s="2">
        <v>1067</v>
      </c>
      <c r="I4012" s="2" t="inlineStr">
        <is>
          <t>$</t>
        </is>
      </c>
      <c r="J4012" s="2">
        <f>HYPERLINK("https://app.astro.lead-studio.pro/product/a33c81f8-fd42-4f8c-9fb7-0d9ccf67c543")</f>
      </c>
    </row>
    <row r="4013" spans="1:10" customHeight="0">
      <c r="A4013" s="2" t="inlineStr">
        <is>
          <t>Ноутбуки</t>
        </is>
      </c>
      <c r="B4013" s="2" t="inlineStr">
        <is>
          <t>MSI</t>
        </is>
      </c>
      <c r="C4013" s="2" t="inlineStr">
        <is>
          <t>9S7-16RK11-405</t>
        </is>
      </c>
      <c r="D4013" s="2" t="inlineStr">
        <is>
          <t>Ноутбук MSI Thin A15 B7UC-405XRU Ryzen 5 7535HS 16Gb SSD1Tb NVIDIA GeForce RTX 3050 4Gb 15.6" IPS FHD (1920x1080) FreeDOS grey space WiFi BT Cam (9S7-16RK11-405)</t>
        </is>
      </c>
      <c r="E4013" s="2" t="inlineStr">
        <is>
          <t>+ </t>
        </is>
      </c>
      <c r="F4013" s="2" t="inlineStr">
        <is>
          <t>+ </t>
        </is>
      </c>
      <c r="H4013" s="2">
        <v>1026</v>
      </c>
      <c r="I4013" s="2" t="inlineStr">
        <is>
          <t>$</t>
        </is>
      </c>
      <c r="J4013" s="2">
        <f>HYPERLINK("https://app.astro.lead-studio.pro/product/9316f8d6-b69c-414a-8d86-ac89dc64d273")</f>
      </c>
    </row>
    <row r="4014" spans="1:10" customHeight="0">
      <c r="A4014" s="2" t="inlineStr">
        <is>
          <t>Ноутбуки</t>
        </is>
      </c>
      <c r="B4014" s="2" t="inlineStr">
        <is>
          <t>MSI</t>
        </is>
      </c>
      <c r="C4014" s="2" t="inlineStr">
        <is>
          <t>9S7-16R821-2209</t>
        </is>
      </c>
      <c r="D4014" s="2" t="inlineStr">
        <is>
          <t>Ноутбук MSI Thin GF63 12UC-2209NL Core i5 12450H 16Gb SSD512Gb NVIDIA GeForce RTX 3050 4Gb 15.6" IPS FHD (1920x1080) Windows 11 Home Multi Language grey WiFi BT Cam (9S7-16R821-2209)</t>
        </is>
      </c>
      <c r="E4014" s="2" t="inlineStr">
        <is>
          <t>+++ </t>
        </is>
      </c>
      <c r="F4014" s="2" t="inlineStr">
        <is>
          <t>+++ </t>
        </is>
      </c>
      <c r="H4014" s="2">
        <v>1014</v>
      </c>
      <c r="I4014" s="2" t="inlineStr">
        <is>
          <t>$</t>
        </is>
      </c>
      <c r="J4014" s="2">
        <f>HYPERLINK("https://app.astro.lead-studio.pro/product/6b18138b-95a9-4720-8ccf-a718531011a0")</f>
      </c>
    </row>
    <row r="4015" spans="1:10" customHeight="0">
      <c r="A4015" s="2" t="inlineStr">
        <is>
          <t>Ноутбуки</t>
        </is>
      </c>
      <c r="B4015" s="2" t="inlineStr">
        <is>
          <t>MSI</t>
        </is>
      </c>
      <c r="C4015" s="2" t="inlineStr">
        <is>
          <t>9S7-15M242-283</t>
        </is>
      </c>
      <c r="D4015" s="2" t="inlineStr">
        <is>
          <t>Ноутбук MSI Vector 16 HX A14VGG-283RU Core i9 14900HX 16Gb SSD1Tb NVIDIA GeForce RTX4070 8Gb 16" IPS QHD+ (2560x1600) Windows 11 Home grey WiFi BT Cam (9S7-15M242-283)</t>
        </is>
      </c>
      <c r="E4015" s="2" t="inlineStr">
        <is>
          <t>+ </t>
        </is>
      </c>
      <c r="F4015" s="2" t="inlineStr">
        <is>
          <t>+ </t>
        </is>
      </c>
      <c r="H4015" s="2">
        <v>2679</v>
      </c>
      <c r="I4015" s="2" t="inlineStr">
        <is>
          <t>$</t>
        </is>
      </c>
      <c r="J4015" s="2">
        <f>HYPERLINK("https://app.astro.lead-studio.pro/product/ce55aa9a-eb8b-4e05-9868-72c53354d590")</f>
      </c>
    </row>
    <row r="4016" spans="1:10" customHeight="0">
      <c r="A4016" s="2" t="inlineStr">
        <is>
          <t>Ноутбуки</t>
        </is>
      </c>
      <c r="B4016" s="2" t="inlineStr">
        <is>
          <t>MSI</t>
        </is>
      </c>
      <c r="C4016" s="2" t="inlineStr">
        <is>
          <t>9S7-15M142-831</t>
        </is>
      </c>
      <c r="D4016" s="2" t="inlineStr">
        <is>
          <t>Ноутбук MSI Vector 16 HX A14VHG-831XRU Core i9 14900HX 16Gb SSD1Tb NVIDIA GeForce RTX4080 12Gb 16" IPS QHD+ (2560x1600) Free DOS grey WiFi BT Cam (9S7-15M142-831)</t>
        </is>
      </c>
      <c r="E4016" s="2" t="inlineStr">
        <is>
          <t>+ </t>
        </is>
      </c>
      <c r="F4016" s="2" t="inlineStr">
        <is>
          <t>+ </t>
        </is>
      </c>
      <c r="H4016" s="2">
        <v>3196</v>
      </c>
      <c r="I4016" s="2" t="inlineStr">
        <is>
          <t>$</t>
        </is>
      </c>
      <c r="J4016" s="2">
        <f>HYPERLINK("https://app.astro.lead-studio.pro/product/be0e1cb6-8e38-4bd5-8f32-9b288d9a691a")</f>
      </c>
    </row>
    <row r="4017" spans="1:10" customHeight="0">
      <c r="A4017" s="2" t="inlineStr">
        <is>
          <t>Ноутбуки</t>
        </is>
      </c>
      <c r="B4017" s="2" t="inlineStr">
        <is>
          <t>MSI</t>
        </is>
      </c>
      <c r="C4017" s="2" t="inlineStr">
        <is>
          <t>9S7-14J111-688</t>
        </is>
      </c>
      <c r="D4017" s="2" t="inlineStr">
        <is>
          <t>Ультрабук MSI Modern 14 C12MO-688RU Core i7 1255U 16Gb SSD512Gb Intel Iris Xe graphics 14" IPS FHD (1920x1080) Windows 11 Pro silver WiFi BT Cam (9S7-14J111-688)</t>
        </is>
      </c>
      <c r="E4017" s="2" t="inlineStr">
        <is>
          <t>+++ </t>
        </is>
      </c>
      <c r="F4017" s="2" t="inlineStr">
        <is>
          <t>+++ </t>
        </is>
      </c>
      <c r="H4017" s="2">
        <v>954</v>
      </c>
      <c r="I4017" s="2" t="inlineStr">
        <is>
          <t>$</t>
        </is>
      </c>
      <c r="J4017" s="2">
        <f>HYPERLINK("https://app.astro.lead-studio.pro/product/4ec18368-4d5e-4691-9c26-44d95d55c106")</f>
      </c>
    </row>
    <row r="4018" spans="1:10" customHeight="0">
      <c r="A4018" s="2" t="inlineStr">
        <is>
          <t>Ноутбуки</t>
        </is>
      </c>
      <c r="B4018" s="2" t="inlineStr">
        <is>
          <t>OSIO</t>
        </is>
      </c>
      <c r="C4018" s="2" t="inlineStr">
        <is>
          <t>B150I-006B</t>
        </is>
      </c>
      <c r="D4018" s="2" t="inlineStr">
        <is>
          <t>Ноутбук Osio BaseLine B150i-006b N-series N100 8Gb SSD512Gb Intel UHD Graphics 15.6" IPS FHD (1920x1080) Windows 11 Home black WiFi BT Cam 5000mAh</t>
        </is>
      </c>
      <c r="E4018" s="2" t="inlineStr">
        <is>
          <t>+ </t>
        </is>
      </c>
      <c r="F4018" s="2" t="inlineStr">
        <is>
          <t>+ </t>
        </is>
      </c>
      <c r="H4018" s="2">
        <v>352</v>
      </c>
      <c r="I4018" s="2" t="inlineStr">
        <is>
          <t>$</t>
        </is>
      </c>
      <c r="J4018" s="2">
        <f>HYPERLINK("https://app.astro.lead-studio.pro/product/4ab2ac9a-2b99-4fa0-a9cc-81022cb6c22b")</f>
      </c>
    </row>
    <row r="4019" spans="1:10" customHeight="0">
      <c r="A4019" s="2" t="inlineStr">
        <is>
          <t>Ноутбуки</t>
        </is>
      </c>
      <c r="B4019" s="2" t="inlineStr">
        <is>
          <t>OSIO</t>
        </is>
      </c>
      <c r="C4019" s="2" t="inlineStr">
        <is>
          <t>C160I-002</t>
        </is>
      </c>
      <c r="D4019" s="2" t="inlineStr">
        <is>
          <t>Ноутбук Osio CyberLine C160i-002 Core i5 12600H 16Gb SSD512Gb NVIDIA GeForce RTX4050 6Gb 16" IPS WUXGA (1920x1200) без ОС brown WiFi BT Cam 3410mAh</t>
        </is>
      </c>
      <c r="E4019" s="2" t="inlineStr">
        <is>
          <t>+ </t>
        </is>
      </c>
      <c r="F4019" s="2" t="inlineStr">
        <is>
          <t>+ </t>
        </is>
      </c>
      <c r="H4019" s="2">
        <v>1249</v>
      </c>
      <c r="I4019" s="2" t="inlineStr">
        <is>
          <t>$</t>
        </is>
      </c>
      <c r="J4019" s="2">
        <f>HYPERLINK("https://app.astro.lead-studio.pro/product/fe25dc55-011a-4da4-91dd-5d14c25e3831")</f>
      </c>
    </row>
    <row r="4020" spans="1:10" customHeight="0">
      <c r="A4020" s="2" t="inlineStr">
        <is>
          <t>Ноутбуки</t>
        </is>
      </c>
      <c r="B4020" s="2" t="inlineStr">
        <is>
          <t>OSIO</t>
        </is>
      </c>
      <c r="C4020" s="2" t="inlineStr">
        <is>
          <t>C160I-003</t>
        </is>
      </c>
      <c r="D4020" s="2" t="inlineStr">
        <is>
          <t>Ноутбук Osio CyberLine C160i-003 Core i5 12600H 16Gb SSD512Gb NVIDIA GeForce RTX4060 8Gb 16" IPS WUXGA (1920x1200) без ОС brown WiFi BT Cam 3410mAh</t>
        </is>
      </c>
      <c r="E4020" s="2" t="inlineStr">
        <is>
          <t>+ </t>
        </is>
      </c>
      <c r="F4020" s="2" t="inlineStr">
        <is>
          <t>+ </t>
        </is>
      </c>
      <c r="H4020" s="2">
        <v>1357</v>
      </c>
      <c r="I4020" s="2" t="inlineStr">
        <is>
          <t>$</t>
        </is>
      </c>
      <c r="J4020" s="2">
        <f>HYPERLINK("https://app.astro.lead-studio.pro/product/c3e4c34e-8e39-42c3-be0f-378192029eb9")</f>
      </c>
    </row>
    <row r="4021" spans="1:10" customHeight="0">
      <c r="A4021" s="2" t="inlineStr">
        <is>
          <t>Ноутбуки</t>
        </is>
      </c>
      <c r="B4021" s="2" t="inlineStr">
        <is>
          <t>OSIO</t>
        </is>
      </c>
      <c r="C4021" s="2" t="inlineStr">
        <is>
          <t>F140I-005</t>
        </is>
      </c>
      <c r="D4021" s="2" t="inlineStr">
        <is>
          <t>Ноутбук Osio FocusLine F140i-005 Core i3 1215U 8Gb SSD512Gb Intel UHD Graphics 14" IPS FHD (1920x1080) Windows 11 Home grey WiFi BT Cam 6000mAh</t>
        </is>
      </c>
      <c r="E4021" s="2" t="inlineStr">
        <is>
          <t>+ </t>
        </is>
      </c>
      <c r="F4021" s="2" t="inlineStr">
        <is>
          <t>+ </t>
        </is>
      </c>
      <c r="H4021" s="2">
        <v>541</v>
      </c>
      <c r="I4021" s="2" t="inlineStr">
        <is>
          <t>$</t>
        </is>
      </c>
      <c r="J4021" s="2">
        <f>HYPERLINK("https://app.astro.lead-studio.pro/product/e099c1ae-7bb9-4193-9eb8-89d7ce84a84c")</f>
      </c>
    </row>
    <row r="4022" spans="1:10" customHeight="0">
      <c r="A4022" s="2" t="inlineStr">
        <is>
          <t>Ноутбуки</t>
        </is>
      </c>
      <c r="B4022" s="2" t="inlineStr">
        <is>
          <t>OSIO</t>
        </is>
      </c>
      <c r="C4022" s="2" t="inlineStr">
        <is>
          <t>F150A-010</t>
        </is>
      </c>
      <c r="D4022" s="2" t="inlineStr">
        <is>
          <t>Ноутбук Osio FocusLine F150a-010 Ryzen 5 5500U 16Gb SSD512Gb AMD Radeon 15.6" IPS FHD (1920x1080) без ОС grey WiFi BT Cam 6000mAh</t>
        </is>
      </c>
      <c r="E4022" s="2" t="inlineStr">
        <is>
          <t>+ </t>
        </is>
      </c>
      <c r="F4022" s="2" t="inlineStr">
        <is>
          <t>+ </t>
        </is>
      </c>
      <c r="H4022" s="2">
        <v>519</v>
      </c>
      <c r="I4022" s="2" t="inlineStr">
        <is>
          <t>$</t>
        </is>
      </c>
      <c r="J4022" s="2">
        <f>HYPERLINK("https://app.astro.lead-studio.pro/product/a660de4d-6a2a-4b12-ad86-c28939bcd4a7")</f>
      </c>
    </row>
    <row r="4023" spans="1:10" customHeight="0">
      <c r="A4023" s="2" t="inlineStr">
        <is>
          <t>Ноутбуки</t>
        </is>
      </c>
      <c r="B4023" s="2" t="inlineStr">
        <is>
          <t>RIKOR</t>
        </is>
      </c>
      <c r="C4023" s="2" t="inlineStr">
        <is>
          <t>RPE0036</t>
        </is>
      </c>
      <c r="D4023" s="2" t="inlineStr">
        <is>
          <t>Ноутбук Rikor R-N-15-8259U Core i5 8259U 8Gb SSD256Gb Intel Iris Plus graphics 15.6" IPS FHD (1920x1080) без ОС dk.grey WiFi BT Cam 6000mAh (RPE0036)</t>
        </is>
      </c>
      <c r="E4023" s="2" t="inlineStr">
        <is>
          <t>+ </t>
        </is>
      </c>
      <c r="F4023" s="2" t="inlineStr">
        <is>
          <t>+ </t>
        </is>
      </c>
      <c r="H4023" s="2">
        <v>590</v>
      </c>
      <c r="I4023" s="2" t="inlineStr">
        <is>
          <t>$</t>
        </is>
      </c>
      <c r="J4023" s="2">
        <f>HYPERLINK("https://app.astro.lead-studio.pro/product/8da2a0a5-0628-452a-9c85-3badc4c3b0ce")</f>
      </c>
    </row>
    <row r="4024" spans="1:10" customHeight="0">
      <c r="A4024" s="2" t="inlineStr">
        <is>
          <t>Ноутбуки</t>
        </is>
      </c>
      <c r="B4024" s="2" t="inlineStr">
        <is>
          <t>SAMSUNG</t>
        </is>
      </c>
      <c r="C4024" s="2" t="inlineStr">
        <is>
          <t>NP940XMA-KB1US</t>
        </is>
      </c>
      <c r="D4024" s="2" t="inlineStr">
        <is>
          <t>Ноутбук Samsung Galaxy Book 4 Edge NP940 Snapdragon X Elite X1E-80-100 16Gb SSD512Gb Qualcomm Adreno 14" AMOLED Touch 3K (3200x1800) Windows 11 Home l.blue WiFi BT Cam (NP940XMA-KB1US)</t>
        </is>
      </c>
      <c r="E4024" s="2" t="inlineStr">
        <is>
          <t>+++ </t>
        </is>
      </c>
      <c r="F4024" s="2" t="inlineStr">
        <is>
          <t>+++ </t>
        </is>
      </c>
      <c r="H4024" s="2">
        <v>1665</v>
      </c>
      <c r="I4024" s="2" t="inlineStr">
        <is>
          <t>$</t>
        </is>
      </c>
      <c r="J4024" s="2">
        <f>HYPERLINK("https://app.astro.lead-studio.pro/product/4b1a94f0-6bfe-4633-b4f9-e08898547352")</f>
      </c>
    </row>
    <row r="4025" spans="1:10" customHeight="0">
      <c r="A4025" s="2" t="inlineStr">
        <is>
          <t>Ноутбуки</t>
        </is>
      </c>
      <c r="B4025" s="2" t="inlineStr">
        <is>
          <t>SAMSUNG</t>
        </is>
      </c>
      <c r="C4025" s="2" t="inlineStr">
        <is>
          <t>NP750XGK-LG3IN</t>
        </is>
      </c>
      <c r="D4025" s="2" t="inlineStr">
        <is>
          <t>Ноутбук Samsung Galaxy Book 4 NP750 Core 7 150U 16Gb SSD512Gb Intel Graphics 15.6" PLS FHD (1920x1080) Windows 11 Home grey WiFi BT Cam (NP750XGK-LG3IN)</t>
        </is>
      </c>
      <c r="E4025" s="2" t="inlineStr">
        <is>
          <t>+ </t>
        </is>
      </c>
      <c r="F4025" s="2" t="inlineStr">
        <is>
          <t>+ </t>
        </is>
      </c>
      <c r="H4025" s="2">
        <v>1407</v>
      </c>
      <c r="I4025" s="2" t="inlineStr">
        <is>
          <t>$</t>
        </is>
      </c>
      <c r="J4025" s="2">
        <f>HYPERLINK("https://app.astro.lead-studio.pro/product/2d931a74-1764-4ec8-bed6-d28d3759692b")</f>
      </c>
    </row>
    <row r="4026" spans="1:10" customHeight="0">
      <c r="A4026" s="2" t="inlineStr">
        <is>
          <t>Ноутбуки</t>
        </is>
      </c>
      <c r="B4026" s="2" t="inlineStr">
        <is>
          <t>SAMSUNG</t>
        </is>
      </c>
      <c r="C4026" s="2" t="inlineStr">
        <is>
          <t>NP750XGK-KS2US</t>
        </is>
      </c>
      <c r="D4026" s="2" t="inlineStr">
        <is>
          <t>Ноутбук Samsung Galaxy Book 4 NP750 Core 7 150U 16Gb SSD512Gb Intel Graphics 15.6" PLS FHD (1920x1080) Windows 11 Home silver WiFi BT Cam (NP750XGK-KS2US)</t>
        </is>
      </c>
      <c r="E4026" s="2" t="inlineStr">
        <is>
          <t>++ </t>
        </is>
      </c>
      <c r="F4026" s="2" t="inlineStr">
        <is>
          <t>++ </t>
        </is>
      </c>
      <c r="H4026" s="2">
        <v>1078</v>
      </c>
      <c r="I4026" s="2" t="inlineStr">
        <is>
          <t>$</t>
        </is>
      </c>
      <c r="J4026" s="2">
        <f>HYPERLINK("https://app.astro.lead-studio.pro/product/d393785d-25d9-472c-bdf6-0226a392db25")</f>
      </c>
    </row>
    <row r="4027" spans="1:10" customHeight="0">
      <c r="A4027" s="2" t="inlineStr">
        <is>
          <t>Ноутбуки</t>
        </is>
      </c>
      <c r="B4027" s="2" t="inlineStr">
        <is>
          <t>ГРАВИТОН</t>
        </is>
      </c>
      <c r="C4027" s="2" t="inlineStr">
        <is>
          <t>151506</t>
        </is>
      </c>
      <c r="D4027" s="2" t="inlineStr">
        <is>
          <t>Ноутбук Гравитон Н14И-Т Core i5 1135G7 16Gb SSD512Gb 14" FHD без ОС grey WiFi BT Cam (151506)</t>
        </is>
      </c>
      <c r="E4027" s="2" t="inlineStr">
        <is>
          <t>+ </t>
        </is>
      </c>
      <c r="F4027" s="2" t="inlineStr">
        <is>
          <t>+ </t>
        </is>
      </c>
      <c r="H4027" s="2">
        <v>1093</v>
      </c>
      <c r="I4027" s="2" t="inlineStr">
        <is>
          <t>$</t>
        </is>
      </c>
      <c r="J4027" s="2">
        <f>HYPERLINK("https://app.astro.lead-studio.pro/product/b734db11-d084-4561-b3e8-82e6c7e1e0a9")</f>
      </c>
    </row>
    <row r="4028" spans="1:10" customHeight="0">
      <c r="A4028" s="2" t="inlineStr">
        <is>
          <t>Ноутбуки</t>
        </is>
      </c>
      <c r="B4028" s="2" t="inlineStr">
        <is>
          <t>ГРАВИТОН</t>
        </is>
      </c>
      <c r="C4028" s="2" t="inlineStr">
        <is>
          <t>149708</t>
        </is>
      </c>
      <c r="D4028" s="2" t="inlineStr">
        <is>
          <t>Ноутбук Гравитон Н15И Core i5 10210U 8Gb SSD256Gb 15.6" FHD (1920x1080) без ОС WiFi BT (149708)</t>
        </is>
      </c>
      <c r="E4028" s="2" t="inlineStr">
        <is>
          <t>+ </t>
        </is>
      </c>
      <c r="F4028" s="2" t="inlineStr">
        <is>
          <t>+ </t>
        </is>
      </c>
      <c r="H4028" s="2">
        <v>937</v>
      </c>
      <c r="I4028" s="2" t="inlineStr">
        <is>
          <t>$</t>
        </is>
      </c>
      <c r="J4028" s="2">
        <f>HYPERLINK("https://app.astro.lead-studio.pro/product/7d94dac7-b89f-48f0-82ac-579a7f2a3a0c")</f>
      </c>
    </row>
    <row r="4029" spans="1:10" customHeight="0">
      <c r="A4029" s="2" t="inlineStr">
        <is>
          <t>Источники бесперебойного питания</t>
        </is>
      </c>
      <c r="B4029" s="2" t="inlineStr">
        <is>
          <t>IPPON</t>
        </is>
      </c>
      <c r="C4029" s="2" t="inlineStr">
        <is>
          <t>1974614</t>
        </is>
      </c>
      <c r="D4029" s="2" t="inlineStr">
        <is>
          <t>Датчик Ippon EMP Innova Modular (1974614)</t>
        </is>
      </c>
      <c r="E4029" s="2" t="inlineStr">
        <is>
          <t>+ </t>
        </is>
      </c>
      <c r="F4029" s="2" t="inlineStr">
        <is>
          <t>+ </t>
        </is>
      </c>
      <c r="H4029" s="2">
        <v>649</v>
      </c>
      <c r="I4029" s="2" t="inlineStr">
        <is>
          <t>$</t>
        </is>
      </c>
      <c r="J4029" s="2">
        <f>HYPERLINK("https://app.astro.lead-studio.pro/product/614e24e6-d984-452a-8858-3aab2aa92dfd")</f>
      </c>
    </row>
    <row r="4030" spans="1:10" customHeight="0">
      <c r="A4030" s="2" t="inlineStr">
        <is>
          <t>Источники бесперебойного питания</t>
        </is>
      </c>
      <c r="B4030" s="2" t="inlineStr">
        <is>
          <t>IPPON</t>
        </is>
      </c>
      <c r="C4030" s="2" t="inlineStr">
        <is>
          <t>1991866</t>
        </is>
      </c>
      <c r="D4030" s="2" t="inlineStr">
        <is>
          <t>Кабель Ippon (1991866) Parallel connection cable Innova Modular</t>
        </is>
      </c>
      <c r="E4030" s="2" t="inlineStr">
        <is>
          <t>+ </t>
        </is>
      </c>
      <c r="F4030" s="2" t="inlineStr">
        <is>
          <t>+ </t>
        </is>
      </c>
      <c r="H4030" s="2">
        <v>485</v>
      </c>
      <c r="I4030" s="2" t="inlineStr">
        <is>
          <t>$</t>
        </is>
      </c>
      <c r="J4030" s="2">
        <f>HYPERLINK("https://app.astro.lead-studio.pro/product/91430ae2-219d-4581-b23a-0e09737656f9")</f>
      </c>
    </row>
    <row r="4031" spans="1:10" customHeight="0">
      <c r="A4031" s="2" t="inlineStr">
        <is>
          <t>Источники бесперебойного питания</t>
        </is>
      </c>
      <c r="B4031" s="2" t="inlineStr">
        <is>
          <t>IPPON</t>
        </is>
      </c>
      <c r="C4031" s="2" t="inlineStr">
        <is>
          <t>1989992</t>
        </is>
      </c>
      <c r="D4031" s="2" t="inlineStr">
        <is>
          <t>Модуль Ippon SNMP M2 card (1989992)</t>
        </is>
      </c>
      <c r="E4031" s="2" t="inlineStr">
        <is>
          <t>+ </t>
        </is>
      </c>
      <c r="F4031" s="2" t="inlineStr">
        <is>
          <t>+ </t>
        </is>
      </c>
      <c r="H4031" s="2">
        <v>699</v>
      </c>
      <c r="I4031" s="2" t="inlineStr">
        <is>
          <t>$</t>
        </is>
      </c>
      <c r="J4031" s="2">
        <f>HYPERLINK("https://app.astro.lead-studio.pro/product/dacb3f4d-a9cd-459f-b0b2-e17fdc006ce2")</f>
      </c>
    </row>
    <row r="4032" spans="1:10" customHeight="0">
      <c r="A4032" s="2" t="inlineStr">
        <is>
          <t>Источники бесперебойного питания</t>
        </is>
      </c>
      <c r="B4032" s="2" t="inlineStr">
        <is>
          <t>IPPON</t>
        </is>
      </c>
      <c r="C4032" s="2" t="inlineStr">
        <is>
          <t>2073901</t>
        </is>
      </c>
      <c r="D4032" s="2" t="inlineStr">
        <is>
          <t>Сетевая карта Ippon ПСУ Спутник П20 (2073901)</t>
        </is>
      </c>
      <c r="E4032" s="2" t="inlineStr">
        <is>
          <t>+ </t>
        </is>
      </c>
      <c r="F4032" s="2" t="inlineStr">
        <is>
          <t>+ </t>
        </is>
      </c>
      <c r="H4032" s="2">
        <v>775</v>
      </c>
      <c r="I4032" s="2" t="inlineStr">
        <is>
          <t>$</t>
        </is>
      </c>
      <c r="J4032" s="2">
        <f>HYPERLINK("https://app.astro.lead-studio.pro/product/4ae56df9-2dd9-4130-8483-496d770c5b3c")</f>
      </c>
    </row>
    <row r="4033" spans="1:10" customHeight="0">
      <c r="A4033" s="2" t="inlineStr">
        <is>
          <t>Источники бесперебойного питания</t>
        </is>
      </c>
      <c r="B4033" s="2" t="inlineStr">
        <is>
          <t>IPPON</t>
        </is>
      </c>
      <c r="C4033" s="2" t="inlineStr">
        <is>
          <t>2043956</t>
        </is>
      </c>
      <c r="D4033" s="2" t="inlineStr">
        <is>
          <t>Шкаф батарейный Ippon 40/65 (2043956)</t>
        </is>
      </c>
      <c r="E4033" s="2" t="inlineStr">
        <is>
          <t>+ </t>
        </is>
      </c>
      <c r="F4033" s="2" t="inlineStr">
        <is>
          <t>+ </t>
        </is>
      </c>
      <c r="H4033" s="2">
        <v>5223</v>
      </c>
      <c r="I4033" s="2" t="inlineStr">
        <is>
          <t>$</t>
        </is>
      </c>
      <c r="J4033" s="2">
        <f>HYPERLINK("https://app.astro.lead-studio.pro/product/b7862c75-4d92-4c53-8f89-0eb75770bd99")</f>
      </c>
    </row>
    <row r="4034" spans="1:10" customHeight="0">
      <c r="A4034" s="2" t="inlineStr">
        <is>
          <t>Источники бесперебойного питания</t>
        </is>
      </c>
      <c r="B4034" s="2" t="inlineStr">
        <is>
          <t>IPPON</t>
        </is>
      </c>
      <c r="C4034" s="2" t="inlineStr">
        <is>
          <t>2043957</t>
        </is>
      </c>
      <c r="D4034" s="2" t="inlineStr">
        <is>
          <t>Шкаф батарейный Ippon Intatum 40/100 (2043957)</t>
        </is>
      </c>
      <c r="E4034" s="2" t="inlineStr">
        <is>
          <t>+ </t>
        </is>
      </c>
      <c r="F4034" s="2" t="inlineStr">
        <is>
          <t>+ </t>
        </is>
      </c>
      <c r="H4034" s="2">
        <v>4990</v>
      </c>
      <c r="I4034" s="2" t="inlineStr">
        <is>
          <t>$</t>
        </is>
      </c>
      <c r="J4034" s="2">
        <f>HYPERLINK("https://app.astro.lead-studio.pro/product/2a70ee2b-e88e-467b-be0e-9c65ad58107d")</f>
      </c>
    </row>
    <row r="4035" spans="1:10" customHeight="0">
      <c r="A4035" s="2" t="inlineStr">
        <is>
          <t>Источники бесперебойного питания</t>
        </is>
      </c>
      <c r="B4035" s="2" t="inlineStr">
        <is>
          <t>POWERCOM</t>
        </is>
      </c>
      <c r="C4035" s="2" t="inlineStr">
        <is>
          <t>ATS-16A</t>
        </is>
      </c>
      <c r="D4035" s="2" t="inlineStr">
        <is>
          <t>Байпас Powercom ATS-16A</t>
        </is>
      </c>
      <c r="E4035" s="2" t="inlineStr">
        <is>
          <t>+ </t>
        </is>
      </c>
      <c r="F4035" s="2" t="inlineStr">
        <is>
          <t>+ </t>
        </is>
      </c>
      <c r="H4035" s="2">
        <v>789</v>
      </c>
      <c r="I4035" s="2" t="inlineStr">
        <is>
          <t>$</t>
        </is>
      </c>
      <c r="J4035" s="2">
        <f>HYPERLINK("https://app.astro.lead-studio.pro/product/73310590-5a06-4432-b7bb-9b82b887835a")</f>
      </c>
    </row>
    <row r="4036" spans="1:10" customHeight="0">
      <c r="A4036" s="2" t="inlineStr">
        <is>
          <t>Источники бесперебойного питания</t>
        </is>
      </c>
      <c r="B4036" s="2" t="inlineStr">
        <is>
          <t>POWERCOM</t>
        </is>
      </c>
      <c r="C4036" s="2" t="inlineStr">
        <is>
          <t>ATS-30A</t>
        </is>
      </c>
      <c r="D4036" s="2" t="inlineStr">
        <is>
          <t>Байпас Powercom ATS-30A</t>
        </is>
      </c>
      <c r="E4036" s="2" t="inlineStr">
        <is>
          <t>+ </t>
        </is>
      </c>
      <c r="F4036" s="2" t="inlineStr">
        <is>
          <t>+ </t>
        </is>
      </c>
      <c r="H4036" s="2">
        <v>839</v>
      </c>
      <c r="I4036" s="2" t="inlineStr">
        <is>
          <t>$</t>
        </is>
      </c>
      <c r="J4036" s="2">
        <f>HYPERLINK("https://app.astro.lead-studio.pro/product/8bff1846-9b5e-4165-934e-169b4a922473")</f>
      </c>
    </row>
    <row r="4037" spans="1:10" customHeight="0">
      <c r="A4037" s="2" t="inlineStr">
        <is>
          <t>Источники бесперебойного питания</t>
        </is>
      </c>
      <c r="B4037" s="2" t="inlineStr">
        <is>
          <t>POWERCOM</t>
        </is>
      </c>
      <c r="C4037" s="2" t="inlineStr">
        <is>
          <t>MTS-10A</t>
        </is>
      </c>
      <c r="D4037" s="2" t="inlineStr">
        <is>
          <t>Байпас Powercom MTS-10A</t>
        </is>
      </c>
      <c r="E4037" s="2" t="inlineStr">
        <is>
          <t>+ </t>
        </is>
      </c>
      <c r="F4037" s="2" t="inlineStr">
        <is>
          <t>+ </t>
        </is>
      </c>
      <c r="H4037" s="2">
        <v>488</v>
      </c>
      <c r="I4037" s="2" t="inlineStr">
        <is>
          <t>$</t>
        </is>
      </c>
      <c r="J4037" s="2">
        <f>HYPERLINK("https://app.astro.lead-studio.pro/product/a7d3de1d-1548-4725-aa44-ac365904ab4d")</f>
      </c>
    </row>
    <row r="4038" spans="1:10" customHeight="0">
      <c r="A4038" s="2" t="inlineStr">
        <is>
          <t>Источники бесперебойного питания</t>
        </is>
      </c>
      <c r="B4038" s="2" t="inlineStr">
        <is>
          <t>POWERCOM</t>
        </is>
      </c>
      <c r="C4038" s="2" t="inlineStr">
        <is>
          <t>MTS-16A</t>
        </is>
      </c>
      <c r="D4038" s="2" t="inlineStr">
        <is>
          <t>Байпас Powercom MTS-16A</t>
        </is>
      </c>
      <c r="E4038" s="2" t="inlineStr">
        <is>
          <t>+ </t>
        </is>
      </c>
      <c r="F4038" s="2" t="inlineStr">
        <is>
          <t>+ </t>
        </is>
      </c>
      <c r="H4038" s="2">
        <v>513</v>
      </c>
      <c r="I4038" s="2" t="inlineStr">
        <is>
          <t>$</t>
        </is>
      </c>
      <c r="J4038" s="2">
        <f>HYPERLINK("https://app.astro.lead-studio.pro/product/730e5ee3-071d-44ce-8bcc-6bddb8e0a242")</f>
      </c>
    </row>
    <row r="4039" spans="1:10" customHeight="0">
      <c r="A4039" s="2" t="inlineStr">
        <is>
          <t>Источники бесперебойного питания</t>
        </is>
      </c>
      <c r="B4039" s="2" t="inlineStr">
        <is>
          <t>POWERCOM</t>
        </is>
      </c>
      <c r="C4039" s="2" t="inlineStr">
        <is>
          <t>MTS-30A</t>
        </is>
      </c>
      <c r="D4039" s="2" t="inlineStr">
        <is>
          <t>Байпас Powercom MTS-30A</t>
        </is>
      </c>
      <c r="E4039" s="2" t="inlineStr">
        <is>
          <t>+ </t>
        </is>
      </c>
      <c r="F4039" s="2" t="inlineStr">
        <is>
          <t>+ </t>
        </is>
      </c>
      <c r="H4039" s="2">
        <v>623</v>
      </c>
      <c r="I4039" s="2" t="inlineStr">
        <is>
          <t>$</t>
        </is>
      </c>
      <c r="J4039" s="2">
        <f>HYPERLINK("https://app.astro.lead-studio.pro/product/69e7aa98-de9a-43ee-b9c2-0f0ed9280e55")</f>
      </c>
    </row>
    <row r="4040" spans="1:10" customHeight="0">
      <c r="A4040" s="2" t="inlineStr">
        <is>
          <t>Источники бесперебойного питания</t>
        </is>
      </c>
      <c r="B4040" s="2" t="inlineStr">
        <is>
          <t>POWERCOM</t>
        </is>
      </c>
      <c r="C4040" s="2" t="inlineStr">
        <is>
          <t>PDU-16AVMS20-18C13-2C19</t>
        </is>
      </c>
      <c r="D4040" s="2" t="inlineStr">
        <is>
          <t>Блок распределения питания Powercom PDU-16AVMS20-18C13-2C19</t>
        </is>
      </c>
      <c r="E4040" s="2" t="inlineStr">
        <is>
          <t>+ </t>
        </is>
      </c>
      <c r="F4040" s="2" t="inlineStr">
        <is>
          <t>+ </t>
        </is>
      </c>
      <c r="H4040" s="2">
        <v>809</v>
      </c>
      <c r="I4040" s="2" t="inlineStr">
        <is>
          <t>$</t>
        </is>
      </c>
      <c r="J4040" s="2">
        <f>HYPERLINK("https://app.astro.lead-studio.pro/product/e8069007-1bef-4fcc-85df-aa181cc61d63")</f>
      </c>
    </row>
    <row r="4041" spans="1:10" customHeight="0">
      <c r="A4041" s="2" t="inlineStr">
        <is>
          <t>Источники бесперебойного питания</t>
        </is>
      </c>
      <c r="B4041" s="2" t="inlineStr">
        <is>
          <t>POWERCOM</t>
        </is>
      </c>
      <c r="C4041" s="2" t="inlineStr">
        <is>
          <t>PDU-32AVMS24-14C3-10C9-1P</t>
        </is>
      </c>
      <c r="D4041" s="2" t="inlineStr">
        <is>
          <t>Блок распределения питания Powercom PDU-32AVMS24-14C3-10C9-1P</t>
        </is>
      </c>
      <c r="E4041" s="2" t="inlineStr">
        <is>
          <t>+ </t>
        </is>
      </c>
      <c r="F4041" s="2" t="inlineStr">
        <is>
          <t>+ </t>
        </is>
      </c>
      <c r="H4041" s="2">
        <v>917</v>
      </c>
      <c r="I4041" s="2" t="inlineStr">
        <is>
          <t>$</t>
        </is>
      </c>
      <c r="J4041" s="2">
        <f>HYPERLINK("https://app.astro.lead-studio.pro/product/614d23de-5600-4700-b1b9-e4338d81b467")</f>
      </c>
    </row>
    <row r="4042" spans="1:10" customHeight="0">
      <c r="A4042" s="2" t="inlineStr">
        <is>
          <t>Источники бесперебойного питания</t>
        </is>
      </c>
      <c r="B4042" s="2" t="inlineStr">
        <is>
          <t>СВЯЗЬ ИНЖИНИРИНГ</t>
        </is>
      </c>
      <c r="C4042" s="2" t="inlineStr">
        <is>
          <t>BA506</t>
        </is>
      </c>
      <c r="D4042" s="2" t="inlineStr">
        <is>
          <t>Плата управления Связь Инжиниринг BA506</t>
        </is>
      </c>
      <c r="E4042" s="2" t="inlineStr">
        <is>
          <t>+ </t>
        </is>
      </c>
      <c r="F4042" s="2" t="inlineStr">
        <is>
          <t>+ </t>
        </is>
      </c>
      <c r="H4042" s="2">
        <v>346</v>
      </c>
      <c r="I4042" s="2" t="inlineStr">
        <is>
          <t>$</t>
        </is>
      </c>
      <c r="J4042" s="2">
        <f>HYPERLINK("https://app.astro.lead-studio.pro/product/c4f256ff-6b8a-4feb-b5aa-2bb0f12d5c68")</f>
      </c>
    </row>
    <row r="4043" spans="1:10" customHeight="0">
      <c r="A4043" s="2" t="inlineStr">
        <is>
          <t>Источники бесперебойного питания</t>
        </is>
      </c>
      <c r="B4043" s="2" t="inlineStr">
        <is>
          <t>DELTA</t>
        </is>
      </c>
      <c r="C4043" s="2" t="inlineStr">
        <is>
          <t>DTM 12150 L</t>
        </is>
      </c>
      <c r="D4043" s="2" t="inlineStr">
        <is>
          <t>Батарея для ИБП Delta DTM 12150 L 12В 150Ач</t>
        </is>
      </c>
      <c r="E4043" s="2" t="inlineStr">
        <is>
          <t>+ </t>
        </is>
      </c>
      <c r="F4043" s="2" t="inlineStr">
        <is>
          <t>+ </t>
        </is>
      </c>
      <c r="H4043" s="2">
        <v>404</v>
      </c>
      <c r="I4043" s="2" t="inlineStr">
        <is>
          <t>$</t>
        </is>
      </c>
      <c r="J4043" s="2">
        <f>HYPERLINK("https://app.astro.lead-studio.pro/product/24d176a0-69a3-4f4b-bf4a-54b1877edd51")</f>
      </c>
    </row>
    <row r="4044" spans="1:10" customHeight="0">
      <c r="A4044" s="2" t="inlineStr">
        <is>
          <t>Источники бесперебойного питания</t>
        </is>
      </c>
      <c r="B4044" s="2" t="inlineStr">
        <is>
          <t>DELTA</t>
        </is>
      </c>
      <c r="C4044" s="2" t="inlineStr">
        <is>
          <t>GEL 12-150</t>
        </is>
      </c>
      <c r="D4044" s="2" t="inlineStr">
        <is>
          <t>Батарея для ИБП Delta GEL 12-150 12В 150Ач</t>
        </is>
      </c>
      <c r="E4044" s="2" t="inlineStr">
        <is>
          <t>+ </t>
        </is>
      </c>
      <c r="F4044" s="2" t="inlineStr">
        <is>
          <t>+ </t>
        </is>
      </c>
      <c r="H4044" s="2">
        <v>441</v>
      </c>
      <c r="I4044" s="2" t="inlineStr">
        <is>
          <t>$</t>
        </is>
      </c>
      <c r="J4044" s="2">
        <f>HYPERLINK("https://app.astro.lead-studio.pro/product/11b7725e-6401-4012-bb9e-1c612ef27124")</f>
      </c>
    </row>
    <row r="4045" spans="1:10" customHeight="0">
      <c r="A4045" s="2" t="inlineStr">
        <is>
          <t>Источники бесперебойного питания</t>
        </is>
      </c>
      <c r="B4045" s="2" t="inlineStr">
        <is>
          <t>DELTA</t>
        </is>
      </c>
      <c r="C4045" s="2" t="inlineStr">
        <is>
          <t>HRL 12-100 X</t>
        </is>
      </c>
      <c r="D4045" s="2" t="inlineStr">
        <is>
          <t>Батарея для ИБП Delta HRL 12-100 X 12В 100Ач</t>
        </is>
      </c>
      <c r="E4045" s="2" t="inlineStr">
        <is>
          <t>+ </t>
        </is>
      </c>
      <c r="F4045" s="2" t="inlineStr">
        <is>
          <t>+ </t>
        </is>
      </c>
      <c r="H4045" s="2">
        <v>371</v>
      </c>
      <c r="I4045" s="2" t="inlineStr">
        <is>
          <t>$</t>
        </is>
      </c>
      <c r="J4045" s="2">
        <f>HYPERLINK("https://app.astro.lead-studio.pro/product/1f4a83ad-03a3-4b05-9089-031fa3595a9b")</f>
      </c>
    </row>
    <row r="4046" spans="1:10" customHeight="0">
      <c r="A4046" s="2" t="inlineStr">
        <is>
          <t>Источники бесперебойного питания</t>
        </is>
      </c>
      <c r="B4046" s="2" t="inlineStr">
        <is>
          <t>DELTA</t>
        </is>
      </c>
      <c r="C4046" s="2" t="inlineStr">
        <is>
          <t>HRL 12-75 X</t>
        </is>
      </c>
      <c r="D4046" s="2" t="inlineStr">
        <is>
          <t>Батарея для ИБП Delta HRL 12-75 X 12В 75Ач</t>
        </is>
      </c>
      <c r="E4046" s="2" t="inlineStr">
        <is>
          <t>+ </t>
        </is>
      </c>
      <c r="F4046" s="2" t="inlineStr">
        <is>
          <t>+ </t>
        </is>
      </c>
      <c r="H4046" s="2">
        <v>334</v>
      </c>
      <c r="I4046" s="2" t="inlineStr">
        <is>
          <t>$</t>
        </is>
      </c>
      <c r="J4046" s="2">
        <f>HYPERLINK("https://app.astro.lead-studio.pro/product/9d63fe6c-bede-4f6a-bdd5-8fcf681d3ff9")</f>
      </c>
    </row>
    <row r="4047" spans="1:10" customHeight="0">
      <c r="A4047" s="2" t="inlineStr">
        <is>
          <t>Источники бесперебойного питания</t>
        </is>
      </c>
      <c r="B4047" s="2" t="inlineStr">
        <is>
          <t>DELTA</t>
        </is>
      </c>
      <c r="C4047" s="2" t="inlineStr">
        <is>
          <t>RBM140</t>
        </is>
      </c>
      <c r="D4047" s="2" t="inlineStr">
        <is>
          <t>Батарея для ИБП Delta RBM140 96В 5Ач для SRT5KRMXLIM/SRT6KRMXLIM/SRT10KRMXLI/SRT10KXLI/SRT5KRMXLI</t>
        </is>
      </c>
      <c r="E4047" s="2" t="inlineStr">
        <is>
          <t>+ </t>
        </is>
      </c>
      <c r="F4047" s="2" t="inlineStr">
        <is>
          <t>+ </t>
        </is>
      </c>
      <c r="H4047" s="2">
        <v>612</v>
      </c>
      <c r="I4047" s="2" t="inlineStr">
        <is>
          <t>$</t>
        </is>
      </c>
      <c r="J4047" s="2">
        <f>HYPERLINK("https://app.astro.lead-studio.pro/product/ebf74ce8-9012-411c-b536-b4289d82ae34")</f>
      </c>
    </row>
    <row r="4048" spans="1:10" customHeight="0">
      <c r="A4048" s="2" t="inlineStr">
        <is>
          <t>Источники бесперебойного питания</t>
        </is>
      </c>
      <c r="B4048" s="2" t="inlineStr">
        <is>
          <t>DELTA</t>
        </is>
      </c>
      <c r="C4048" s="2" t="inlineStr">
        <is>
          <t>RBM152</t>
        </is>
      </c>
      <c r="D4048" s="2" t="inlineStr">
        <is>
          <t>Батарея для ИБП Delta RBM152 96В 5Ач для SRT3000XLI/3000RMXLI/3000RMXLI-NC/3000RMXLW-IEC/3000XLW-IEC/96BP/96RMBP</t>
        </is>
      </c>
      <c r="E4048" s="2" t="inlineStr">
        <is>
          <t>+ </t>
        </is>
      </c>
      <c r="F4048" s="2" t="inlineStr">
        <is>
          <t>+ </t>
        </is>
      </c>
      <c r="H4048" s="2">
        <v>406</v>
      </c>
      <c r="I4048" s="2" t="inlineStr">
        <is>
          <t>$</t>
        </is>
      </c>
      <c r="J4048" s="2">
        <f>HYPERLINK("https://app.astro.lead-studio.pro/product/159ca398-bef6-4ec3-9ae1-3ad2bb17194f")</f>
      </c>
    </row>
    <row r="4049" spans="1:10" customHeight="0">
      <c r="A4049" s="2" t="inlineStr">
        <is>
          <t>Источники бесперебойного питания</t>
        </is>
      </c>
      <c r="B4049" s="2" t="inlineStr">
        <is>
          <t>DELTA</t>
        </is>
      </c>
      <c r="C4049" s="2" t="inlineStr">
        <is>
          <t>RBM43</t>
        </is>
      </c>
      <c r="D4049" s="2" t="inlineStr">
        <is>
          <t>Батарея для ИБП Delta RBM43 48В 10Ач для SMT2200RMI2U/SMT3000RMI2U/SUA2200RMI2U/SUA3000RMI2U/SUM1500RMXLI2U</t>
        </is>
      </c>
      <c r="E4049" s="2" t="inlineStr">
        <is>
          <t>+ </t>
        </is>
      </c>
      <c r="F4049" s="2" t="inlineStr">
        <is>
          <t>+ </t>
        </is>
      </c>
      <c r="H4049" s="2">
        <v>324</v>
      </c>
      <c r="I4049" s="2" t="inlineStr">
        <is>
          <t>$</t>
        </is>
      </c>
      <c r="J4049" s="2">
        <f>HYPERLINK("https://app.astro.lead-studio.pro/product/03854c74-2dc5-4e18-adb6-78468f5e497d")</f>
      </c>
    </row>
    <row r="4050" spans="1:10" customHeight="0">
      <c r="A4050" s="2" t="inlineStr">
        <is>
          <t>Источники бесперебойного питания</t>
        </is>
      </c>
      <c r="B4050" s="2" t="inlineStr">
        <is>
          <t>DELTA</t>
        </is>
      </c>
      <c r="C4050" s="2" t="inlineStr">
        <is>
          <t>RBM55</t>
        </is>
      </c>
      <c r="D4050" s="2" t="inlineStr">
        <is>
          <t>Батарея для ИБП Delta RBM55 24В 36Ач для APC</t>
        </is>
      </c>
      <c r="E4050" s="2" t="inlineStr">
        <is>
          <t>+ </t>
        </is>
      </c>
      <c r="F4050" s="2" t="inlineStr">
        <is>
          <t>+ </t>
        </is>
      </c>
      <c r="H4050" s="2">
        <v>334</v>
      </c>
      <c r="I4050" s="2" t="inlineStr">
        <is>
          <t>$</t>
        </is>
      </c>
      <c r="J4050" s="2">
        <f>HYPERLINK("https://app.astro.lead-studio.pro/product/66a24125-47bb-4830-9e69-897cdd499b6e")</f>
      </c>
    </row>
    <row r="4051" spans="1:10" customHeight="0">
      <c r="A4051" s="2" t="inlineStr">
        <is>
          <t>Источники бесперебойного питания</t>
        </is>
      </c>
      <c r="B4051" s="2" t="inlineStr">
        <is>
          <t>IPPON</t>
        </is>
      </c>
      <c r="C4051" s="2" t="inlineStr">
        <is>
          <t>2005319</t>
        </is>
      </c>
      <c r="D4051" s="2" t="inlineStr">
        <is>
          <t>Батарея для ИБП Ippon INF12-100 12В 100Ач</t>
        </is>
      </c>
      <c r="E4051" s="2" t="inlineStr">
        <is>
          <t>+ </t>
        </is>
      </c>
      <c r="F4051" s="2" t="inlineStr">
        <is>
          <t>+ </t>
        </is>
      </c>
      <c r="H4051" s="2">
        <v>461</v>
      </c>
      <c r="I4051" s="2" t="inlineStr">
        <is>
          <t>$</t>
        </is>
      </c>
      <c r="J4051" s="2">
        <f>HYPERLINK("https://app.astro.lead-studio.pro/product/cb95b1de-312f-4a3b-9b05-7121cb0e0626")</f>
      </c>
    </row>
    <row r="4052" spans="1:10" customHeight="0">
      <c r="A4052" s="2" t="inlineStr">
        <is>
          <t>Источники бесперебойного питания</t>
        </is>
      </c>
      <c r="B4052" s="2" t="inlineStr">
        <is>
          <t>IPPON</t>
        </is>
      </c>
      <c r="C4052" s="2" t="inlineStr">
        <is>
          <t>2005318</t>
        </is>
      </c>
      <c r="D4052" s="2" t="inlineStr">
        <is>
          <t>Батарея для ИБП Ippon INF12-62 12В 62Ач</t>
        </is>
      </c>
      <c r="E4052" s="2" t="inlineStr">
        <is>
          <t>+ </t>
        </is>
      </c>
      <c r="F4052" s="2" t="inlineStr">
        <is>
          <t>+ </t>
        </is>
      </c>
      <c r="H4052" s="2">
        <v>329</v>
      </c>
      <c r="I4052" s="2" t="inlineStr">
        <is>
          <t>$</t>
        </is>
      </c>
      <c r="J4052" s="2">
        <f>HYPERLINK("https://app.astro.lead-studio.pro/product/7c2cc9ab-7e94-49b5-9113-babfc4a2bf92")</f>
      </c>
    </row>
    <row r="4053" spans="1:10" customHeight="0">
      <c r="A4053" s="2" t="inlineStr">
        <is>
          <t>Источники бесперебойного питания</t>
        </is>
      </c>
      <c r="B4053" s="2" t="inlineStr">
        <is>
          <t>IPPON</t>
        </is>
      </c>
      <c r="C4053" s="2" t="inlineStr">
        <is>
          <t>2028683</t>
        </is>
      </c>
      <c r="D4053" s="2" t="inlineStr">
        <is>
          <t>Батарея для ИБП Ippon Innova RTB 2000 48В 9Ач для Innova RTB 2000</t>
        </is>
      </c>
      <c r="E4053" s="2" t="inlineStr">
        <is>
          <t>+ </t>
        </is>
      </c>
      <c r="F4053" s="2" t="inlineStr">
        <is>
          <t>+ </t>
        </is>
      </c>
      <c r="H4053" s="2">
        <v>362</v>
      </c>
      <c r="I4053" s="2" t="inlineStr">
        <is>
          <t>$</t>
        </is>
      </c>
      <c r="J4053" s="2">
        <f>HYPERLINK("https://app.astro.lead-studio.pro/product/4deb2853-311a-4e2f-aa18-52d64a598669")</f>
      </c>
    </row>
    <row r="4054" spans="1:10" customHeight="0">
      <c r="A4054" s="2" t="inlineStr">
        <is>
          <t>Источники бесперебойного питания</t>
        </is>
      </c>
      <c r="B4054" s="2" t="inlineStr">
        <is>
          <t>IPPON</t>
        </is>
      </c>
      <c r="C4054" s="2" t="inlineStr">
        <is>
          <t>2028483</t>
        </is>
      </c>
      <c r="D4054" s="2" t="inlineStr">
        <is>
          <t>Батарея для ИБП Ippon Innova RTB 3000 72В 9Ач для Innova RTB 3000</t>
        </is>
      </c>
      <c r="E4054" s="2" t="inlineStr">
        <is>
          <t>+++ </t>
        </is>
      </c>
      <c r="F4054" s="2" t="inlineStr">
        <is>
          <t>+++ </t>
        </is>
      </c>
      <c r="H4054" s="2">
        <v>436</v>
      </c>
      <c r="I4054" s="2" t="inlineStr">
        <is>
          <t>$</t>
        </is>
      </c>
      <c r="J4054" s="2">
        <f>HYPERLINK("https://app.astro.lead-studio.pro/product/c4ef54fe-8a24-4915-b4b9-9467075d4c08")</f>
      </c>
    </row>
    <row r="4055" spans="1:10" customHeight="0">
      <c r="A4055" s="2" t="inlineStr">
        <is>
          <t>Источники бесперебойного питания</t>
        </is>
      </c>
      <c r="B4055" s="2" t="inlineStr">
        <is>
          <t>IPPON</t>
        </is>
      </c>
      <c r="C4055" s="2" t="inlineStr">
        <is>
          <t>2005327</t>
        </is>
      </c>
      <c r="D4055" s="2" t="inlineStr">
        <is>
          <t>Батарея для ИБП Ippon INT12-100 12В 100Ач</t>
        </is>
      </c>
      <c r="E4055" s="2" t="inlineStr">
        <is>
          <t>++ </t>
        </is>
      </c>
      <c r="F4055" s="2" t="inlineStr">
        <is>
          <t>++ </t>
        </is>
      </c>
      <c r="H4055" s="2">
        <v>622</v>
      </c>
      <c r="I4055" s="2" t="inlineStr">
        <is>
          <t>$</t>
        </is>
      </c>
      <c r="J4055" s="2">
        <f>HYPERLINK("https://app.astro.lead-studio.pro/product/2f420b31-7c89-4ead-bf59-9d2a4afdc5bd")</f>
      </c>
    </row>
    <row r="4056" spans="1:10" customHeight="0">
      <c r="A4056" s="2" t="inlineStr">
        <is>
          <t>Источники бесперебойного питания</t>
        </is>
      </c>
      <c r="B4056" s="2" t="inlineStr">
        <is>
          <t>IPPON</t>
        </is>
      </c>
      <c r="C4056" s="2" t="inlineStr">
        <is>
          <t>2005333</t>
        </is>
      </c>
      <c r="D4056" s="2" t="inlineStr">
        <is>
          <t>Батарея для ИБП Ippon INT12-150 12В 150Ач</t>
        </is>
      </c>
      <c r="E4056" s="2" t="inlineStr">
        <is>
          <t>+ </t>
        </is>
      </c>
      <c r="F4056" s="2" t="inlineStr">
        <is>
          <t>+ </t>
        </is>
      </c>
      <c r="H4056" s="2">
        <v>741</v>
      </c>
      <c r="I4056" s="2" t="inlineStr">
        <is>
          <t>$</t>
        </is>
      </c>
      <c r="J4056" s="2">
        <f>HYPERLINK("https://app.astro.lead-studio.pro/product/f5748b83-074a-44a4-9e19-d710047d2ab1")</f>
      </c>
    </row>
    <row r="4057" spans="1:10" customHeight="0">
      <c r="A4057" s="2" t="inlineStr">
        <is>
          <t>Источники бесперебойного питания</t>
        </is>
      </c>
      <c r="B4057" s="2" t="inlineStr">
        <is>
          <t>IPPON</t>
        </is>
      </c>
      <c r="C4057" s="2" t="inlineStr">
        <is>
          <t>2005325</t>
        </is>
      </c>
      <c r="D4057" s="2" t="inlineStr">
        <is>
          <t>Батарея для ИБП Ippon INT12-80 12В 80Ач</t>
        </is>
      </c>
      <c r="E4057" s="2" t="inlineStr">
        <is>
          <t>+ </t>
        </is>
      </c>
      <c r="F4057" s="2" t="inlineStr">
        <is>
          <t>+ </t>
        </is>
      </c>
      <c r="H4057" s="2">
        <v>509</v>
      </c>
      <c r="I4057" s="2" t="inlineStr">
        <is>
          <t>$</t>
        </is>
      </c>
      <c r="J4057" s="2">
        <f>HYPERLINK("https://app.astro.lead-studio.pro/product/e3f49ff9-ef54-411f-8f3e-e95628f9b2f9")</f>
      </c>
    </row>
    <row r="4058" spans="1:10" customHeight="0">
      <c r="A4058" s="2" t="inlineStr">
        <is>
          <t>Источники бесперебойного питания</t>
        </is>
      </c>
      <c r="B4058" s="2" t="inlineStr">
        <is>
          <t>IPPON</t>
        </is>
      </c>
      <c r="C4058" s="2" t="inlineStr">
        <is>
          <t>2005326</t>
        </is>
      </c>
      <c r="D4058" s="2" t="inlineStr">
        <is>
          <t>Батарея для ИБП Ippon INT12-90 12В 90Ач</t>
        </is>
      </c>
      <c r="E4058" s="2" t="inlineStr">
        <is>
          <t>+ </t>
        </is>
      </c>
      <c r="F4058" s="2" t="inlineStr">
        <is>
          <t>+ </t>
        </is>
      </c>
      <c r="H4058" s="2">
        <v>576</v>
      </c>
      <c r="I4058" s="2" t="inlineStr">
        <is>
          <t>$</t>
        </is>
      </c>
      <c r="J4058" s="2">
        <f>HYPERLINK("https://app.astro.lead-studio.pro/product/d2b0964f-b981-4967-9a99-b077d7a9fc92")</f>
      </c>
    </row>
    <row r="4059" spans="1:10" customHeight="0">
      <c r="A4059" s="2" t="inlineStr">
        <is>
          <t>Источники бесперебойного питания</t>
        </is>
      </c>
      <c r="B4059" s="2" t="inlineStr">
        <is>
          <t>IPPON</t>
        </is>
      </c>
      <c r="C4059" s="2" t="inlineStr">
        <is>
          <t>1734539</t>
        </is>
      </c>
      <c r="D4059" s="2" t="inlineStr">
        <is>
          <t>Батарея для ИБП Ippon IP12-140 12В 140Ач</t>
        </is>
      </c>
      <c r="E4059" s="2" t="inlineStr">
        <is>
          <t>+++ </t>
        </is>
      </c>
      <c r="F4059" s="2" t="inlineStr">
        <is>
          <t>+++ </t>
        </is>
      </c>
      <c r="H4059" s="2">
        <v>602</v>
      </c>
      <c r="I4059" s="2" t="inlineStr">
        <is>
          <t>$</t>
        </is>
      </c>
      <c r="J4059" s="2">
        <f>HYPERLINK("https://app.astro.lead-studio.pro/product/53b86841-c3b1-45c2-859b-2d61ddf25c53")</f>
      </c>
    </row>
    <row r="4060" spans="1:10" customHeight="0">
      <c r="A4060" s="2" t="inlineStr">
        <is>
          <t>Источники бесперебойного питания</t>
        </is>
      </c>
      <c r="B4060" s="2" t="inlineStr">
        <is>
          <t>IPPON</t>
        </is>
      </c>
      <c r="C4060" s="2" t="inlineStr">
        <is>
          <t>1734540</t>
        </is>
      </c>
      <c r="D4060" s="2" t="inlineStr">
        <is>
          <t>Батарея для ИБП Ippon IP12-200 12В 200Ач</t>
        </is>
      </c>
      <c r="E4060" s="2" t="inlineStr">
        <is>
          <t>++ </t>
        </is>
      </c>
      <c r="F4060" s="2" t="inlineStr">
        <is>
          <t>++ </t>
        </is>
      </c>
      <c r="H4060" s="2">
        <v>873</v>
      </c>
      <c r="I4060" s="2" t="inlineStr">
        <is>
          <t>$</t>
        </is>
      </c>
      <c r="J4060" s="2">
        <f>HYPERLINK("https://app.astro.lead-studio.pro/product/757372ec-efcb-40ea-b9be-55fada54489a")</f>
      </c>
    </row>
    <row r="4061" spans="1:10" customHeight="0">
      <c r="A4061" s="2" t="inlineStr">
        <is>
          <t>Источники бесперебойного питания</t>
        </is>
      </c>
      <c r="B4061" s="2" t="inlineStr">
        <is>
          <t>IPPON</t>
        </is>
      </c>
      <c r="C4061" s="2" t="inlineStr">
        <is>
          <t>1850445</t>
        </is>
      </c>
      <c r="D4061" s="2" t="inlineStr">
        <is>
          <t>Батарея для ИБП Ippon IPL12-65 12В 65Ач</t>
        </is>
      </c>
      <c r="E4061" s="2" t="inlineStr">
        <is>
          <t>+ </t>
        </is>
      </c>
      <c r="F4061" s="2" t="inlineStr">
        <is>
          <t>+ </t>
        </is>
      </c>
      <c r="H4061" s="2">
        <v>353</v>
      </c>
      <c r="I4061" s="2" t="inlineStr">
        <is>
          <t>$</t>
        </is>
      </c>
      <c r="J4061" s="2">
        <f>HYPERLINK("https://app.astro.lead-studio.pro/product/3a69c5c6-29c7-467c-a5be-67cd124690e8")</f>
      </c>
    </row>
    <row r="4062" spans="1:10" customHeight="0">
      <c r="A4062" s="2" t="inlineStr">
        <is>
          <t>Источники бесперебойного питания</t>
        </is>
      </c>
      <c r="B4062" s="2" t="inlineStr">
        <is>
          <t>IPPON</t>
        </is>
      </c>
      <c r="C4062" s="2" t="inlineStr">
        <is>
          <t>1976369</t>
        </is>
      </c>
      <c r="D4062" s="2" t="inlineStr">
        <is>
          <t>Батарея для ИБП Ippon Pacific 3000 72В 9Ач</t>
        </is>
      </c>
      <c r="E4062" s="2" t="inlineStr">
        <is>
          <t>+++ </t>
        </is>
      </c>
      <c r="F4062" s="2" t="inlineStr">
        <is>
          <t>+++ </t>
        </is>
      </c>
      <c r="H4062" s="2">
        <v>423</v>
      </c>
      <c r="I4062" s="2" t="inlineStr">
        <is>
          <t>$</t>
        </is>
      </c>
      <c r="J4062" s="2">
        <f>HYPERLINK("https://app.astro.lead-studio.pro/product/15183a1b-0278-4bc9-8345-581567254213")</f>
      </c>
    </row>
    <row r="4063" spans="1:10" customHeight="0">
      <c r="A4063" s="2" t="inlineStr">
        <is>
          <t>Источники бесперебойного питания</t>
        </is>
      </c>
      <c r="B4063" s="2" t="inlineStr">
        <is>
          <t>IPPON</t>
        </is>
      </c>
      <c r="C4063" s="2" t="inlineStr">
        <is>
          <t>1997810</t>
        </is>
      </c>
      <c r="D4063" s="2" t="inlineStr">
        <is>
          <t>Батарея для ИБП Ippon PL12-100 12В 100Ач</t>
        </is>
      </c>
      <c r="E4063" s="2" t="inlineStr">
        <is>
          <t>+++ </t>
        </is>
      </c>
      <c r="F4063" s="2" t="inlineStr">
        <is>
          <t>+++ </t>
        </is>
      </c>
      <c r="H4063" s="2">
        <v>468</v>
      </c>
      <c r="I4063" s="2" t="inlineStr">
        <is>
          <t>$</t>
        </is>
      </c>
      <c r="J4063" s="2">
        <f>HYPERLINK("https://app.astro.lead-studio.pro/product/e80c625f-dc83-457a-a7a1-8476b84823c1")</f>
      </c>
    </row>
    <row r="4064" spans="1:10" customHeight="0">
      <c r="A4064" s="2" t="inlineStr">
        <is>
          <t>Источники бесперебойного питания</t>
        </is>
      </c>
      <c r="B4064" s="2" t="inlineStr">
        <is>
          <t>POWERCOM</t>
        </is>
      </c>
      <c r="C4064" s="2" t="inlineStr">
        <is>
          <t>BAT VGD-240V RM VRT-10K 1A</t>
        </is>
      </c>
      <c r="D4064" s="2" t="inlineStr">
        <is>
          <t>Батарея для ИБП Powercom BAT VGD-240V RM VRT-10K 1A 240В 9Ач для MRT/VRT-10K</t>
        </is>
      </c>
      <c r="E4064" s="2" t="inlineStr">
        <is>
          <t>+ </t>
        </is>
      </c>
      <c r="F4064" s="2" t="inlineStr">
        <is>
          <t>+ </t>
        </is>
      </c>
      <c r="H4064" s="2">
        <v>1025</v>
      </c>
      <c r="I4064" s="2" t="inlineStr">
        <is>
          <t>$</t>
        </is>
      </c>
      <c r="J4064" s="2">
        <f>HYPERLINK("https://app.astro.lead-studio.pro/product/f2faf5bf-d157-4ea2-9db9-1decec55f573")</f>
      </c>
    </row>
    <row r="4065" spans="1:10" customHeight="0">
      <c r="A4065" s="2" t="inlineStr">
        <is>
          <t>Источники бесперебойного питания</t>
        </is>
      </c>
      <c r="B4065" s="2" t="inlineStr">
        <is>
          <t>POWERCOM</t>
        </is>
      </c>
      <c r="C4065" s="2" t="inlineStr">
        <is>
          <t>BAT VGD-240V RM VRT10KPDU</t>
        </is>
      </c>
      <c r="D4065" s="2" t="inlineStr">
        <is>
          <t>Батарея для ИБП Powercom BAT VGD-240V RM VRT10KPDU 240В 9Ач для MRT/VRT-10K</t>
        </is>
      </c>
      <c r="E4065" s="2" t="inlineStr">
        <is>
          <t>+ </t>
        </is>
      </c>
      <c r="F4065" s="2" t="inlineStr">
        <is>
          <t>+ </t>
        </is>
      </c>
      <c r="H4065" s="2">
        <v>1036</v>
      </c>
      <c r="I4065" s="2" t="inlineStr">
        <is>
          <t>$</t>
        </is>
      </c>
      <c r="J4065" s="2">
        <f>HYPERLINK("https://app.astro.lead-studio.pro/product/5f4b4f74-b756-40b0-8161-60a7f98c7170")</f>
      </c>
    </row>
    <row r="4066" spans="1:10" customHeight="0">
      <c r="A4066" s="2" t="inlineStr">
        <is>
          <t>Источники бесперебойного питания</t>
        </is>
      </c>
      <c r="B4066" s="2" t="inlineStr">
        <is>
          <t>POWERCOM</t>
        </is>
      </c>
      <c r="C4066" s="2" t="inlineStr">
        <is>
          <t>BAT VGD 240V RM VRT10K</t>
        </is>
      </c>
      <c r="D4066" s="2" t="inlineStr">
        <is>
          <t>Батарея для ИБП Powercom BAT VGD 240V RM VRT10K 240В 9Ач для MRT/VRT-10K</t>
        </is>
      </c>
      <c r="E4066" s="2" t="inlineStr">
        <is>
          <t>+ </t>
        </is>
      </c>
      <c r="F4066" s="2" t="inlineStr">
        <is>
          <t>+ </t>
        </is>
      </c>
      <c r="H4066" s="2">
        <v>716</v>
      </c>
      <c r="I4066" s="2" t="inlineStr">
        <is>
          <t>$</t>
        </is>
      </c>
      <c r="J4066" s="2">
        <f>HYPERLINK("https://app.astro.lead-studio.pro/product/2f6ac65f-7aee-42e7-8c81-9fd627f5a7c8")</f>
      </c>
    </row>
    <row r="4067" spans="1:10" customHeight="0">
      <c r="A4067" s="2" t="inlineStr">
        <is>
          <t>Источники бесперебойного питания</t>
        </is>
      </c>
      <c r="B4067" s="2" t="inlineStr">
        <is>
          <t>SYSTEME ELECTRIC</t>
        </is>
      </c>
      <c r="C4067" s="2" t="inlineStr">
        <is>
          <t>BPSE240RT3U5</t>
        </is>
      </c>
      <c r="D4067" s="2" t="inlineStr">
        <is>
          <t>Батарея для ИБП Systeme Electriс BPSE240RT3U5 240В 100Ач</t>
        </is>
      </c>
      <c r="E4067" s="2" t="inlineStr">
        <is>
          <t>+ </t>
        </is>
      </c>
      <c r="F4067" s="2" t="inlineStr">
        <is>
          <t>+ </t>
        </is>
      </c>
      <c r="H4067" s="2">
        <v>1863</v>
      </c>
      <c r="I4067" s="2" t="inlineStr">
        <is>
          <t>$</t>
        </is>
      </c>
      <c r="J4067" s="2">
        <f>HYPERLINK("https://app.astro.lead-studio.pro/product/394d7800-2103-49fa-8631-2362d8384aec")</f>
      </c>
    </row>
    <row r="4068" spans="1:10" customHeight="0">
      <c r="A4068" s="2" t="inlineStr">
        <is>
          <t>Источники бесперебойного питания</t>
        </is>
      </c>
      <c r="B4068" s="2" t="inlineStr">
        <is>
          <t>SYSTEME ELECTRIC</t>
        </is>
      </c>
      <c r="C4068" s="2" t="inlineStr">
        <is>
          <t>BPSE240RT3U9</t>
        </is>
      </c>
      <c r="D4068" s="2" t="inlineStr">
        <is>
          <t>Батарея для ИБП Systeme Electriс BPSE240RT3U9 240В</t>
        </is>
      </c>
      <c r="E4068" s="2" t="inlineStr">
        <is>
          <t>+ </t>
        </is>
      </c>
      <c r="F4068" s="2" t="inlineStr">
        <is>
          <t>+ </t>
        </is>
      </c>
      <c r="H4068" s="2">
        <v>1253</v>
      </c>
      <c r="I4068" s="2" t="inlineStr">
        <is>
          <t>$</t>
        </is>
      </c>
      <c r="J4068" s="2">
        <f>HYPERLINK("https://app.astro.lead-studio.pro/product/5532214d-212c-478d-a775-c6f8149b725a")</f>
      </c>
    </row>
    <row r="4069" spans="1:10" customHeight="0">
      <c r="A4069" s="2" t="inlineStr">
        <is>
          <t>Источники бесперебойного питания</t>
        </is>
      </c>
      <c r="B4069" s="2" t="inlineStr">
        <is>
          <t>SYSTEME ELECTRIC</t>
        </is>
      </c>
      <c r="C4069" s="2" t="inlineStr">
        <is>
          <t>BPSE36RT2U</t>
        </is>
      </c>
      <c r="D4069" s="2" t="inlineStr">
        <is>
          <t>Батарея для ИБП Systeme Electriс BPSE36RT2U 36В</t>
        </is>
      </c>
      <c r="E4069" s="2" t="inlineStr">
        <is>
          <t>+ </t>
        </is>
      </c>
      <c r="F4069" s="2" t="inlineStr">
        <is>
          <t>+ </t>
        </is>
      </c>
      <c r="H4069" s="2">
        <v>424</v>
      </c>
      <c r="I4069" s="2" t="inlineStr">
        <is>
          <t>$</t>
        </is>
      </c>
      <c r="J4069" s="2">
        <f>HYPERLINK("https://app.astro.lead-studio.pro/product/adcc4502-4343-4d4d-aff3-a33bb5ac4219")</f>
      </c>
    </row>
    <row r="4070" spans="1:10" customHeight="0">
      <c r="A4070" s="2" t="inlineStr">
        <is>
          <t>Источники бесперебойного питания</t>
        </is>
      </c>
      <c r="B4070" s="2" t="inlineStr">
        <is>
          <t>SYSTEME ELECTRIC</t>
        </is>
      </c>
      <c r="C4070" s="2" t="inlineStr">
        <is>
          <t>BPSE72RT2U</t>
        </is>
      </c>
      <c r="D4070" s="2" t="inlineStr">
        <is>
          <t>Батарея для ИБП Systeme Electriс BPSE72RT2U 72В</t>
        </is>
      </c>
      <c r="E4070" s="2" t="inlineStr">
        <is>
          <t>+ </t>
        </is>
      </c>
      <c r="F4070" s="2" t="inlineStr">
        <is>
          <t>+ </t>
        </is>
      </c>
      <c r="H4070" s="2">
        <v>844</v>
      </c>
      <c r="I4070" s="2" t="inlineStr">
        <is>
          <t>$</t>
        </is>
      </c>
      <c r="J4070" s="2">
        <f>HYPERLINK("https://app.astro.lead-studio.pro/product/98004a53-d9e9-4a9b-addf-64adff2f62e2")</f>
      </c>
    </row>
    <row r="4071" spans="1:10" customHeight="0">
      <c r="A4071" s="2" t="inlineStr">
        <is>
          <t>Источники бесперебойного питания</t>
        </is>
      </c>
      <c r="B4071" s="2" t="inlineStr">
        <is>
          <t>ИМПУЛЬС</t>
        </is>
      </c>
      <c r="C4071" s="2" t="inlineStr">
        <is>
          <t>BR19S161</t>
        </is>
      </c>
      <c r="D4071" s="2" t="inlineStr">
        <is>
          <t>Батарея для ИБП Импульс BR19S161 192В</t>
        </is>
      </c>
      <c r="E4071" s="2" t="inlineStr">
        <is>
          <t>+ </t>
        </is>
      </c>
      <c r="F4071" s="2" t="inlineStr">
        <is>
          <t>+ </t>
        </is>
      </c>
      <c r="H4071" s="2">
        <v>617</v>
      </c>
      <c r="I4071" s="2" t="inlineStr">
        <is>
          <t>$</t>
        </is>
      </c>
      <c r="J4071" s="2">
        <f>HYPERLINK("https://app.astro.lead-studio.pro/product/0d689616-b83b-43d1-9e6f-ddb6370da96a")</f>
      </c>
    </row>
    <row r="4072" spans="1:10" customHeight="0">
      <c r="A4072" s="2" t="inlineStr">
        <is>
          <t>Источники бесперебойного питания</t>
        </is>
      </c>
      <c r="B4072" s="2" t="inlineStr">
        <is>
          <t>ИМПУЛЬС</t>
        </is>
      </c>
      <c r="C4072" s="2" t="inlineStr">
        <is>
          <t>BR19S201</t>
        </is>
      </c>
      <c r="D4072" s="2" t="inlineStr">
        <is>
          <t>Батарея для ИБП Импульс BR19S201 240В 9Ач</t>
        </is>
      </c>
      <c r="E4072" s="2" t="inlineStr">
        <is>
          <t>+ </t>
        </is>
      </c>
      <c r="F4072" s="2" t="inlineStr">
        <is>
          <t>+ </t>
        </is>
      </c>
      <c r="H4072" s="2">
        <v>653</v>
      </c>
      <c r="I4072" s="2" t="inlineStr">
        <is>
          <t>$</t>
        </is>
      </c>
      <c r="J4072" s="2">
        <f>HYPERLINK("https://app.astro.lead-studio.pro/product/ea6b6270-f381-4f99-8375-a1ac85a78763")</f>
      </c>
    </row>
    <row r="4073" spans="1:10" customHeight="0">
      <c r="A4073" s="2" t="inlineStr">
        <is>
          <t>Источники бесперебойного питания</t>
        </is>
      </c>
      <c r="B4073" s="2" t="inlineStr">
        <is>
          <t>ИМПУЛЬС</t>
        </is>
      </c>
      <c r="C4073" s="2" t="inlineStr">
        <is>
          <t>BR29S031</t>
        </is>
      </c>
      <c r="D4073" s="2" t="inlineStr">
        <is>
          <t>Батарея для ИБП Импульс BR29S031 для Фристайл 1500</t>
        </is>
      </c>
      <c r="E4073" s="2" t="inlineStr">
        <is>
          <t>+ </t>
        </is>
      </c>
      <c r="F4073" s="2" t="inlineStr">
        <is>
          <t>+ </t>
        </is>
      </c>
      <c r="H4073" s="2">
        <v>326</v>
      </c>
      <c r="I4073" s="2" t="inlineStr">
        <is>
          <t>$</t>
        </is>
      </c>
      <c r="J4073" s="2">
        <f>HYPERLINK("https://app.astro.lead-studio.pro/product/7ddd8999-aca6-4a02-a587-0e3496e06008")</f>
      </c>
    </row>
    <row r="4074" spans="1:10" customHeight="0">
      <c r="A4074" s="2" t="inlineStr">
        <is>
          <t>Источники бесперебойного питания</t>
        </is>
      </c>
      <c r="B4074" s="2" t="inlineStr">
        <is>
          <t>ИМПУЛЬС</t>
        </is>
      </c>
      <c r="C4074" s="2" t="inlineStr">
        <is>
          <t>BR29S041</t>
        </is>
      </c>
      <c r="D4074" s="2" t="inlineStr">
        <is>
          <t>Батарея для ИБП Импульс BR29S041 48В 9Ач для Фристайл 2000</t>
        </is>
      </c>
      <c r="E4074" s="2" t="inlineStr">
        <is>
          <t>+ </t>
        </is>
      </c>
      <c r="F4074" s="2" t="inlineStr">
        <is>
          <t>+ </t>
        </is>
      </c>
      <c r="H4074" s="2">
        <v>364</v>
      </c>
      <c r="I4074" s="2" t="inlineStr">
        <is>
          <t>$</t>
        </is>
      </c>
      <c r="J4074" s="2">
        <f>HYPERLINK("https://app.astro.lead-studio.pro/product/2b5b95f3-466b-45b6-be50-37766c8c6cea")</f>
      </c>
    </row>
    <row r="4075" spans="1:10" customHeight="0">
      <c r="A4075" s="2" t="inlineStr">
        <is>
          <t>Источники бесперебойного питания</t>
        </is>
      </c>
      <c r="B4075" s="2" t="inlineStr">
        <is>
          <t>ИМПУЛЬС</t>
        </is>
      </c>
      <c r="C4075" s="2" t="inlineStr">
        <is>
          <t>BR29S061</t>
        </is>
      </c>
      <c r="D4075" s="2" t="inlineStr">
        <is>
          <t>Батарея для ИБП Импульс BR29S061 для Фристайл 3000</t>
        </is>
      </c>
      <c r="E4075" s="2" t="inlineStr">
        <is>
          <t>+ </t>
        </is>
      </c>
      <c r="F4075" s="2" t="inlineStr">
        <is>
          <t>+ </t>
        </is>
      </c>
      <c r="H4075" s="2">
        <v>434</v>
      </c>
      <c r="I4075" s="2" t="inlineStr">
        <is>
          <t>$</t>
        </is>
      </c>
      <c r="J4075" s="2">
        <f>HYPERLINK("https://app.astro.lead-studio.pro/product/17a03fd6-728c-412e-8bfe-35bd8f0efa20")</f>
      </c>
    </row>
    <row r="4076" spans="1:10" customHeight="0">
      <c r="A4076" s="2" t="inlineStr">
        <is>
          <t>Источники бесперебойного питания</t>
        </is>
      </c>
      <c r="B4076" s="2" t="inlineStr">
        <is>
          <t>СВЯЗЬ ИНЖИНИРИНГ</t>
        </is>
      </c>
      <c r="C4076" s="2" t="inlineStr">
        <is>
          <t>АПСМ.563473.006</t>
        </is>
      </c>
      <c r="D4076" s="2" t="inlineStr">
        <is>
          <t>Батарея для ИБП Связь Инжиниринг БМСИПБ1,5-3КА.9-11/3U 72В 9Ач для СИПБ1,5КА.8-11, СИПБ2КА.8-11, СИПБ3КА.8-11, СИПБ1,5КА.9-11/СУХ, СИПБ2КА.9-11/СУХ, СИПБ3КА.9-11/СУХ</t>
        </is>
      </c>
      <c r="E4076" s="2" t="inlineStr">
        <is>
          <t>+ </t>
        </is>
      </c>
      <c r="F4076" s="2" t="inlineStr">
        <is>
          <t>+ </t>
        </is>
      </c>
      <c r="H4076" s="2">
        <v>498</v>
      </c>
      <c r="I4076" s="2" t="inlineStr">
        <is>
          <t>$</t>
        </is>
      </c>
      <c r="J4076" s="2">
        <f>HYPERLINK("https://app.astro.lead-studio.pro/product/93fb988e-2bbf-4553-baa8-c3994c31ecbd")</f>
      </c>
    </row>
    <row r="4077" spans="1:10" customHeight="0">
      <c r="A4077" s="2" t="inlineStr">
        <is>
          <t>Источники бесперебойного питания</t>
        </is>
      </c>
      <c r="B4077" s="2" t="inlineStr">
        <is>
          <t>СВЯЗЬ ИНЖИНИРИНГ</t>
        </is>
      </c>
      <c r="C4077" s="2" t="inlineStr">
        <is>
          <t>БМСИПБ1,5БА.10-11</t>
        </is>
      </c>
      <c r="D4077" s="2" t="inlineStr">
        <is>
          <t>Батарея для ИБП Связь Инжиниринг БМСИПБ1,5БА.10-11 48В 9Ач</t>
        </is>
      </c>
      <c r="E4077" s="2" t="inlineStr">
        <is>
          <t>+ </t>
        </is>
      </c>
      <c r="F4077" s="2" t="inlineStr">
        <is>
          <t>+ </t>
        </is>
      </c>
      <c r="H4077" s="2">
        <v>383</v>
      </c>
      <c r="I4077" s="2" t="inlineStr">
        <is>
          <t>$</t>
        </is>
      </c>
      <c r="J4077" s="2">
        <f>HYPERLINK("https://app.astro.lead-studio.pro/product/e7afacdf-e257-4912-b7e5-dd5bed810e6b")</f>
      </c>
    </row>
    <row r="4078" spans="1:10" customHeight="0">
      <c r="A4078" s="2" t="inlineStr">
        <is>
          <t>Источники бесперебойного питания</t>
        </is>
      </c>
      <c r="B4078" s="2" t="inlineStr">
        <is>
          <t>СВЯЗЬ ИНЖИНИРИНГ</t>
        </is>
      </c>
      <c r="C4078" s="2" t="inlineStr">
        <is>
          <t>БМСИПБ1,5КА.10-11</t>
        </is>
      </c>
      <c r="D4078" s="2" t="inlineStr">
        <is>
          <t>Батарея для ИБП Связь Инжиниринг БМСИПБ1,5КА.10-11</t>
        </is>
      </c>
      <c r="E4078" s="2" t="inlineStr">
        <is>
          <t>+ </t>
        </is>
      </c>
      <c r="F4078" s="2" t="inlineStr">
        <is>
          <t>+ </t>
        </is>
      </c>
      <c r="H4078" s="2">
        <v>412</v>
      </c>
      <c r="I4078" s="2" t="inlineStr">
        <is>
          <t>$</t>
        </is>
      </c>
      <c r="J4078" s="2">
        <f>HYPERLINK("https://app.astro.lead-studio.pro/product/3594dc99-f5c7-4f0d-8f33-3a1152b47790")</f>
      </c>
    </row>
    <row r="4079" spans="1:10" customHeight="0">
      <c r="A4079" s="2" t="inlineStr">
        <is>
          <t>Источники бесперебойного питания</t>
        </is>
      </c>
      <c r="B4079" s="2" t="inlineStr">
        <is>
          <t>СВЯЗЬ ИНЖИНИРИНГ</t>
        </is>
      </c>
      <c r="C4079" s="2" t="inlineStr">
        <is>
          <t>БМСИПБ6-10КД</t>
        </is>
      </c>
      <c r="D4079" s="2" t="inlineStr">
        <is>
          <t>Батарея для ИБП Связь Инжиниринг БМСИПБ6-10КД 240В 9Ач для СИПБ6КД.9-11/СИПБ10КД.9-11/СИПБ6КД.9-31/СИПБ10КД.9-31</t>
        </is>
      </c>
      <c r="E4079" s="2" t="inlineStr">
        <is>
          <t>+ </t>
        </is>
      </c>
      <c r="F4079" s="2" t="inlineStr">
        <is>
          <t>+ </t>
        </is>
      </c>
      <c r="H4079" s="2">
        <v>980</v>
      </c>
      <c r="I4079" s="2" t="inlineStr">
        <is>
          <t>$</t>
        </is>
      </c>
      <c r="J4079" s="2">
        <f>HYPERLINK("https://app.astro.lead-studio.pro/product/3e88d3c8-02b6-418d-bb6e-2c60a796ab6e")</f>
      </c>
    </row>
    <row r="4080" spans="1:10" customHeight="0">
      <c r="A4080" s="2" t="inlineStr">
        <is>
          <t>Источники бесперебойного питания</t>
        </is>
      </c>
      <c r="B4080" s="2" t="inlineStr">
        <is>
          <t>ШТИЛЬ</t>
        </is>
      </c>
      <c r="C4080" s="2" t="inlineStr">
        <is>
          <t>BMR-192-09</t>
        </is>
      </c>
      <c r="D4080" s="2" t="inlineStr">
        <is>
          <t>Батарея для ИБП Штиль BMR-192-09 192В 9Ач для SR1106L/SR1110L/SR3110L</t>
        </is>
      </c>
      <c r="E4080" s="2" t="inlineStr">
        <is>
          <t>+ </t>
        </is>
      </c>
      <c r="F4080" s="2" t="inlineStr">
        <is>
          <t>+ </t>
        </is>
      </c>
      <c r="H4080" s="2">
        <v>802</v>
      </c>
      <c r="I4080" s="2" t="inlineStr">
        <is>
          <t>$</t>
        </is>
      </c>
      <c r="J4080" s="2">
        <f>HYPERLINK("https://app.astro.lead-studio.pro/product/ba4a2382-a107-4e5a-97d0-e98199de9a21")</f>
      </c>
    </row>
    <row r="4081" spans="1:10" customHeight="0">
      <c r="A4081" s="2" t="inlineStr">
        <is>
          <t>Источники бесперебойного питания</t>
        </is>
      </c>
      <c r="B4081" s="2" t="inlineStr">
        <is>
          <t>ШТИЛЬ</t>
        </is>
      </c>
      <c r="C4081" s="2" t="inlineStr">
        <is>
          <t>BMR-192-12-C</t>
        </is>
      </c>
      <c r="D4081" s="2" t="inlineStr">
        <is>
          <t>Батарея для ИБП Штиль BMR-192-12-C 192В 12Ач для SR1106L/SR1110L/SR3110L</t>
        </is>
      </c>
      <c r="E4081" s="2" t="inlineStr">
        <is>
          <t>+ </t>
        </is>
      </c>
      <c r="F4081" s="2" t="inlineStr">
        <is>
          <t>+ </t>
        </is>
      </c>
      <c r="H4081" s="2">
        <v>1196</v>
      </c>
      <c r="I4081" s="2" t="inlineStr">
        <is>
          <t>$</t>
        </is>
      </c>
      <c r="J4081" s="2">
        <f>HYPERLINK("https://app.astro.lead-studio.pro/product/0c815fd0-12d5-4fd5-8af6-a0145657d40c")</f>
      </c>
    </row>
    <row r="4082" spans="1:10" customHeight="0">
      <c r="A4082" s="2" t="inlineStr">
        <is>
          <t>Источники бесперебойного питания</t>
        </is>
      </c>
      <c r="B4082" s="2" t="inlineStr">
        <is>
          <t>ШТИЛЬ</t>
        </is>
      </c>
      <c r="C4082" s="2" t="inlineStr">
        <is>
          <t>BMR-72-09</t>
        </is>
      </c>
      <c r="D4082" s="2" t="inlineStr">
        <is>
          <t>Батарея для ИБП Штиль BMR-72-09 72В 9Ач для SR1102L</t>
        </is>
      </c>
      <c r="E4082" s="2" t="inlineStr">
        <is>
          <t>+ </t>
        </is>
      </c>
      <c r="F4082" s="2" t="inlineStr">
        <is>
          <t>+ </t>
        </is>
      </c>
      <c r="H4082" s="2">
        <v>324</v>
      </c>
      <c r="I4082" s="2" t="inlineStr">
        <is>
          <t>$</t>
        </is>
      </c>
      <c r="J4082" s="2">
        <f>HYPERLINK("https://app.astro.lead-studio.pro/product/efd6f0d9-cf50-439f-8492-840eacf13071")</f>
      </c>
    </row>
    <row r="4083" spans="1:10" customHeight="0">
      <c r="A4083" s="2" t="inlineStr">
        <is>
          <t>Источники бесперебойного питания</t>
        </is>
      </c>
      <c r="B4083" s="2" t="inlineStr">
        <is>
          <t>ШТИЛЬ</t>
        </is>
      </c>
      <c r="C4083" s="2" t="inlineStr">
        <is>
          <t>BMR-96-09</t>
        </is>
      </c>
      <c r="D4083" s="2" t="inlineStr">
        <is>
          <t>Батарея для ИБП Штиль BMR-96-09 96В 9Ач для SR1103L, SR1103TL</t>
        </is>
      </c>
      <c r="E4083" s="2" t="inlineStr">
        <is>
          <t>+ </t>
        </is>
      </c>
      <c r="F4083" s="2" t="inlineStr">
        <is>
          <t>+ </t>
        </is>
      </c>
      <c r="H4083" s="2">
        <v>405</v>
      </c>
      <c r="I4083" s="2" t="inlineStr">
        <is>
          <t>$</t>
        </is>
      </c>
      <c r="J4083" s="2">
        <f>HYPERLINK("https://app.astro.lead-studio.pro/product/86619fd0-98c0-45d5-9f98-d1c5bbc1e9b5")</f>
      </c>
    </row>
    <row r="4084" spans="1:10" customHeight="0">
      <c r="A4084" s="2" t="inlineStr">
        <is>
          <t>Копиры</t>
        </is>
      </c>
      <c r="B4084" s="2" t="inlineStr">
        <is>
          <t>CANON</t>
        </is>
      </c>
      <c r="C4084" s="2" t="inlineStr">
        <is>
          <t>3813C001</t>
        </is>
      </c>
      <c r="D4084" s="2" t="inlineStr">
        <is>
          <t>Автоподатчик Canon DADF-BA1 для C3720I/C3822I (3813C001)</t>
        </is>
      </c>
      <c r="E4084" s="2" t="inlineStr">
        <is>
          <t>+ </t>
        </is>
      </c>
      <c r="F4084" s="2" t="inlineStr">
        <is>
          <t>+ </t>
        </is>
      </c>
      <c r="H4084" s="2">
        <v>513</v>
      </c>
      <c r="I4084" s="2" t="inlineStr">
        <is>
          <t>$</t>
        </is>
      </c>
      <c r="J4084" s="2">
        <f>HYPERLINK("https://app.astro.lead-studio.pro/product/ade0a189-4307-48a0-9186-127fbd63c4fd")</f>
      </c>
    </row>
    <row r="4085" spans="1:10" customHeight="0">
      <c r="A4085" s="2" t="inlineStr">
        <is>
          <t>Копиры</t>
        </is>
      </c>
      <c r="B4085" s="2" t="inlineStr">
        <is>
          <t>CANON</t>
        </is>
      </c>
      <c r="C4085" s="2" t="inlineStr">
        <is>
          <t>3029C003</t>
        </is>
      </c>
      <c r="D4085" s="2" t="inlineStr">
        <is>
          <t>Копир Canon imageRUNNER 2206N (3029C003) лазерный печать:черно-белый (крышка в комплекте)</t>
        </is>
      </c>
      <c r="E4085" s="2" t="inlineStr">
        <is>
          <t>+ </t>
        </is>
      </c>
      <c r="F4085" s="2" t="inlineStr">
        <is>
          <t>+ </t>
        </is>
      </c>
      <c r="H4085" s="2">
        <v>1288</v>
      </c>
      <c r="I4085" s="2" t="inlineStr">
        <is>
          <t>$</t>
        </is>
      </c>
      <c r="J4085" s="2">
        <f>HYPERLINK("https://app.astro.lead-studio.pro/product/9bf268ec-aca3-40ce-8f0a-0de2cb7752f2")</f>
      </c>
    </row>
    <row r="4086" spans="1:10" customHeight="0">
      <c r="A4086" s="2" t="inlineStr">
        <is>
          <t>Копиры</t>
        </is>
      </c>
      <c r="B4086" s="2" t="inlineStr">
        <is>
          <t>CANON</t>
        </is>
      </c>
      <c r="C4086" s="2" t="inlineStr">
        <is>
          <t>4293C004</t>
        </is>
      </c>
      <c r="D4086" s="2" t="inlineStr">
        <is>
          <t>Копир Canon imageRUNNER 2425i (4293C004) лазерный печать:черно-белый RADF</t>
        </is>
      </c>
      <c r="E4086" s="2" t="inlineStr">
        <is>
          <t>+ </t>
        </is>
      </c>
      <c r="F4086" s="2" t="inlineStr">
        <is>
          <t>+ </t>
        </is>
      </c>
      <c r="H4086" s="2">
        <v>1381</v>
      </c>
      <c r="I4086" s="2" t="inlineStr">
        <is>
          <t>$</t>
        </is>
      </c>
      <c r="J4086" s="2">
        <f>HYPERLINK("https://app.astro.lead-studio.pro/product/3f466ba4-91e2-48e4-ab22-0d19e0b465ff")</f>
      </c>
    </row>
    <row r="4087" spans="1:10" customHeight="0">
      <c r="A4087" s="2" t="inlineStr">
        <is>
          <t>Копиры</t>
        </is>
      </c>
      <c r="B4087" s="2" t="inlineStr">
        <is>
          <t>CANON</t>
        </is>
      </c>
      <c r="C4087" s="2" t="inlineStr">
        <is>
          <t>5525C002</t>
        </is>
      </c>
      <c r="D4087" s="2" t="inlineStr">
        <is>
          <t>Копир Canon imageRUNNER 2730i (5525C002) лазерный печать:черно-белый RADF</t>
        </is>
      </c>
      <c r="E4087" s="2" t="inlineStr">
        <is>
          <t>+ </t>
        </is>
      </c>
      <c r="F4087" s="2" t="inlineStr">
        <is>
          <t>+ </t>
        </is>
      </c>
      <c r="H4087" s="2">
        <v>2651</v>
      </c>
      <c r="I4087" s="2" t="inlineStr">
        <is>
          <t>$</t>
        </is>
      </c>
      <c r="J4087" s="2">
        <f>HYPERLINK("https://app.astro.lead-studio.pro/product/34d638a2-c99b-4dd1-b357-8e930dbae409")</f>
      </c>
    </row>
    <row r="4088" spans="1:10" customHeight="0">
      <c r="A4088" s="2" t="inlineStr">
        <is>
          <t>Копиры</t>
        </is>
      </c>
      <c r="B4088" s="2" t="inlineStr">
        <is>
          <t>CANON</t>
        </is>
      </c>
      <c r="C4088" s="2" t="inlineStr">
        <is>
          <t>5975C005</t>
        </is>
      </c>
      <c r="D4088" s="2" t="inlineStr">
        <is>
          <t>Копир Canon imageRunner 2930i (5975C005) лазерный печать:черно-белый RADF</t>
        </is>
      </c>
      <c r="E4088" s="2" t="inlineStr">
        <is>
          <t>+ </t>
        </is>
      </c>
      <c r="F4088" s="2" t="inlineStr">
        <is>
          <t>+ </t>
        </is>
      </c>
      <c r="H4088" s="2">
        <v>2331</v>
      </c>
      <c r="I4088" s="2" t="inlineStr">
        <is>
          <t>$</t>
        </is>
      </c>
      <c r="J4088" s="2">
        <f>HYPERLINK("https://app.astro.lead-studio.pro/product/f930399f-901a-4e4b-8290-3574f385e0bf")</f>
      </c>
    </row>
    <row r="4089" spans="1:10" customHeight="0">
      <c r="A4089" s="2" t="inlineStr">
        <is>
          <t>Копиры</t>
        </is>
      </c>
      <c r="B4089" s="2" t="inlineStr">
        <is>
          <t>CANON</t>
        </is>
      </c>
      <c r="C4089" s="2" t="inlineStr">
        <is>
          <t>4915C024/4915C005</t>
        </is>
      </c>
      <c r="D4089" s="2" t="inlineStr">
        <is>
          <t>Копир Canon imageRunner Advance DX C3822i (Базовый блок) (4915C024/4915C005) лазерный печать:цветной</t>
        </is>
      </c>
      <c r="E4089" s="2" t="inlineStr">
        <is>
          <t>+ </t>
        </is>
      </c>
      <c r="F4089" s="2" t="inlineStr">
        <is>
          <t>+ </t>
        </is>
      </c>
      <c r="H4089" s="2">
        <v>3571</v>
      </c>
      <c r="I4089" s="2" t="inlineStr">
        <is>
          <t>$</t>
        </is>
      </c>
      <c r="J4089" s="2">
        <f>HYPERLINK("https://app.astro.lead-studio.pro/product/4d3dd561-629c-4d64-99f0-4fe6681efa66")</f>
      </c>
    </row>
    <row r="4090" spans="1:10" customHeight="0">
      <c r="A4090" s="2" t="inlineStr">
        <is>
          <t>Копиры</t>
        </is>
      </c>
      <c r="B4090" s="2" t="inlineStr">
        <is>
          <t>CANON</t>
        </is>
      </c>
      <c r="C4090" s="2" t="inlineStr">
        <is>
          <t>4914С005/4914C041</t>
        </is>
      </c>
      <c r="D4090" s="2" t="inlineStr">
        <is>
          <t>Копир Canon imageRunner Advance DX C3826i (Базовый блок) (4914С005/4914C041) лазерный печать:цветной</t>
        </is>
      </c>
      <c r="E4090" s="2" t="inlineStr">
        <is>
          <t>+ </t>
        </is>
      </c>
      <c r="F4090" s="2" t="inlineStr">
        <is>
          <t>+ </t>
        </is>
      </c>
      <c r="H4090" s="2">
        <v>3930</v>
      </c>
      <c r="I4090" s="2" t="inlineStr">
        <is>
          <t>$</t>
        </is>
      </c>
      <c r="J4090" s="2">
        <f>HYPERLINK("https://app.astro.lead-studio.pro/product/f0da9a55-74b6-4321-a823-d528a829833c")</f>
      </c>
    </row>
    <row r="4091" spans="1:10" customHeight="0">
      <c r="A4091" s="2" t="inlineStr">
        <is>
          <t>Копиры</t>
        </is>
      </c>
      <c r="B4091" s="2" t="inlineStr">
        <is>
          <t>CANON</t>
        </is>
      </c>
      <c r="C4091" s="2" t="inlineStr">
        <is>
          <t>4915C024</t>
        </is>
      </c>
      <c r="D4091" s="2" t="inlineStr">
        <is>
          <t>Копир Canon imageRUNNER DX C3822 (4915C024) лазерный печать:цветной RADF с тонером</t>
        </is>
      </c>
      <c r="E4091" s="2" t="inlineStr">
        <is>
          <t>+ </t>
        </is>
      </c>
      <c r="F4091" s="2" t="inlineStr">
        <is>
          <t>+ </t>
        </is>
      </c>
      <c r="H4091" s="2">
        <v>4919</v>
      </c>
      <c r="I4091" s="2" t="inlineStr">
        <is>
          <t>$</t>
        </is>
      </c>
      <c r="J4091" s="2">
        <f>HYPERLINK("https://app.astro.lead-studio.pro/product/658f32b7-6405-40b1-95c7-6ff06afad298")</f>
      </c>
    </row>
    <row r="4092" spans="1:10" customHeight="0">
      <c r="A4092" s="2" t="inlineStr">
        <is>
          <t>Мониторы</t>
        </is>
      </c>
      <c r="B4092" s="2" t="inlineStr">
        <is>
          <t>ACER</t>
        </is>
      </c>
      <c r="C4092" s="2" t="inlineStr">
        <is>
          <t>UM.QW1EE.A02</t>
        </is>
      </c>
      <c r="D4092" s="2" t="inlineStr">
        <is>
          <t>Монитор Acer 23.8" UT241YAbmihuzx черный IPS LED 16:9 HDMI M/M матовая HAS 250cd 178гр/178гр 1920x1080 75Hz FreeSync FHD USB Touch 6.37кг</t>
        </is>
      </c>
      <c r="E4092" s="2" t="inlineStr">
        <is>
          <t>+++ </t>
        </is>
      </c>
      <c r="F4092" s="2" t="inlineStr">
        <is>
          <t>+++ </t>
        </is>
      </c>
      <c r="H4092" s="2">
        <v>403</v>
      </c>
      <c r="I4092" s="2" t="inlineStr">
        <is>
          <t>$</t>
        </is>
      </c>
      <c r="J4092" s="2">
        <f>HYPERLINK("https://app.astro.lead-studio.pro/product/174f78ad-0c2d-4d4d-9804-7d3e5661169c")</f>
      </c>
    </row>
    <row r="4093" spans="1:10" customHeight="0">
      <c r="A4093" s="2" t="inlineStr">
        <is>
          <t>Мониторы</t>
        </is>
      </c>
      <c r="B4093" s="2" t="inlineStr">
        <is>
          <t>ACER</t>
        </is>
      </c>
      <c r="C4093" s="2" t="inlineStr">
        <is>
          <t>UM.HX2CD.003</t>
        </is>
      </c>
      <c r="D4093" s="2" t="inlineStr">
        <is>
          <t>Монитор Acer 27" KA272Kbmiipx черный IPS LED 1ms 16:9 HDMI M/M матовая 1000:1 250cd 178гр/178гр 2560x1440 75Hz DP 2K 5.24кг</t>
        </is>
      </c>
      <c r="E4093" s="2" t="inlineStr">
        <is>
          <t>++ </t>
        </is>
      </c>
      <c r="F4093" s="2" t="inlineStr">
        <is>
          <t>++ </t>
        </is>
      </c>
      <c r="H4093" s="2">
        <v>454</v>
      </c>
      <c r="I4093" s="2" t="inlineStr">
        <is>
          <t>$</t>
        </is>
      </c>
      <c r="J4093" s="2">
        <f>HYPERLINK("https://app.astro.lead-studio.pro/product/f41d1927-78ae-4fe7-a79d-baddcbe2e77d")</f>
      </c>
    </row>
    <row r="4094" spans="1:10" customHeight="0">
      <c r="A4094" s="2" t="inlineStr">
        <is>
          <t>Мониторы</t>
        </is>
      </c>
      <c r="B4094" s="2" t="inlineStr">
        <is>
          <t>ACER</t>
        </is>
      </c>
      <c r="C4094" s="2" t="inlineStr">
        <is>
          <t>UM.HV0CD.L01</t>
        </is>
      </c>
      <c r="D4094" s="2" t="inlineStr">
        <is>
          <t>Монитор Acer 27" Nitro VG270KLbmiipx черный IPS LED 4ms 16:9 HDMI M/M матовая 350cd 178гр/178гр 3840x2160 60Hz FreeSync DP Quad 4K (2160p) 5.12кг</t>
        </is>
      </c>
      <c r="E4094" s="2" t="inlineStr">
        <is>
          <t>+++ </t>
        </is>
      </c>
      <c r="F4094" s="2" t="inlineStr">
        <is>
          <t>+++ </t>
        </is>
      </c>
      <c r="H4094" s="2">
        <v>319</v>
      </c>
      <c r="I4094" s="2" t="inlineStr">
        <is>
          <t>$</t>
        </is>
      </c>
      <c r="J4094" s="2">
        <f>HYPERLINK("https://app.astro.lead-studio.pro/product/e86db7f8-e6de-4c96-b416-76e44a7a2fe5")</f>
      </c>
    </row>
    <row r="4095" spans="1:10" customHeight="0">
      <c r="A4095" s="2" t="inlineStr">
        <is>
          <t>Мониторы</t>
        </is>
      </c>
      <c r="B4095" s="2" t="inlineStr">
        <is>
          <t>ACER</t>
        </is>
      </c>
      <c r="C4095" s="2" t="inlineStr">
        <is>
          <t>UM.HX2EE.Z01</t>
        </is>
      </c>
      <c r="D4095" s="2" t="inlineStr">
        <is>
          <t>Монитор Acer 27" Nitro XV272UZbmiipruzx черный IPS LED 1ms 16:9 HDMI M/M матовая HAS Piv 400cd 178гр/178гр 2560x1440 240Hz FreeSync DP 2K USB 5.5кг</t>
        </is>
      </c>
      <c r="E4095" s="2" t="inlineStr">
        <is>
          <t>+ </t>
        </is>
      </c>
      <c r="F4095" s="2" t="inlineStr">
        <is>
          <t>+ </t>
        </is>
      </c>
      <c r="H4095" s="2">
        <v>690</v>
      </c>
      <c r="I4095" s="2" t="inlineStr">
        <is>
          <t>$</t>
        </is>
      </c>
      <c r="J4095" s="2">
        <f>HYPERLINK("https://app.astro.lead-studio.pro/product/60d84fc2-5acb-4d30-8023-7e05015c98bc")</f>
      </c>
    </row>
    <row r="4096" spans="1:10" customHeight="0">
      <c r="A4096" s="2" t="inlineStr">
        <is>
          <t>Мониторы</t>
        </is>
      </c>
      <c r="B4096" s="2" t="inlineStr">
        <is>
          <t>ACER</t>
        </is>
      </c>
      <c r="C4096" s="2" t="inlineStr">
        <is>
          <t>UM.HX5EE.001</t>
        </is>
      </c>
      <c r="D4096" s="2" t="inlineStr">
        <is>
          <t>Монитор Acer 27" XV275Kymipruzx темно-серый IPS LED 0.5ms 16:9 HDMI M/M матовая HAS Piv 400cd 178гр/178гр 3840x2160 60Hz FreeSync Premium DP USB 6.06кг</t>
        </is>
      </c>
      <c r="E4096" s="2" t="inlineStr">
        <is>
          <t>+ </t>
        </is>
      </c>
      <c r="F4096" s="2" t="inlineStr">
        <is>
          <t>+ </t>
        </is>
      </c>
      <c r="H4096" s="2">
        <v>461</v>
      </c>
      <c r="I4096" s="2" t="inlineStr">
        <is>
          <t>$</t>
        </is>
      </c>
      <c r="J4096" s="2">
        <f>HYPERLINK("https://app.astro.lead-studio.pro/product/90368450-f025-40c7-97fa-bbe45d22e7eb")</f>
      </c>
    </row>
    <row r="4097" spans="1:10" customHeight="0">
      <c r="A4097" s="2" t="inlineStr">
        <is>
          <t>Мониторы</t>
        </is>
      </c>
      <c r="B4097" s="2" t="inlineStr">
        <is>
          <t>ACER</t>
        </is>
      </c>
      <c r="C4097" s="2" t="inlineStr">
        <is>
          <t>UM.JX2EE.V13</t>
        </is>
      </c>
      <c r="D4097" s="2" t="inlineStr">
        <is>
          <t>Монитор Acer 31.5" Nitro XV322QKKVbmiiphuzx черный IPS LED 1ms 16:9 HDMI M/M матовая HAS Piv 400cd 178гр/178гр 3840x2160 144Hz FreeSync Premium DP WQ USB 9.54кг</t>
        </is>
      </c>
      <c r="E4097" s="2" t="inlineStr">
        <is>
          <t>+ </t>
        </is>
      </c>
      <c r="F4097" s="2" t="inlineStr">
        <is>
          <t>+ </t>
        </is>
      </c>
      <c r="H4097" s="2">
        <v>941</v>
      </c>
      <c r="I4097" s="2" t="inlineStr">
        <is>
          <t>$</t>
        </is>
      </c>
      <c r="J4097" s="2">
        <f>HYPERLINK("https://app.astro.lead-studio.pro/product/a3653f17-f3b9-4c38-a42f-7b6e4095c526")</f>
      </c>
    </row>
    <row r="4098" spans="1:10" customHeight="0">
      <c r="A4098" s="2" t="inlineStr">
        <is>
          <t>Мониторы</t>
        </is>
      </c>
      <c r="B4098" s="2" t="inlineStr">
        <is>
          <t>ACER</t>
        </is>
      </c>
      <c r="C4098" s="2" t="inlineStr">
        <is>
          <t>UM.JS2EE.001</t>
        </is>
      </c>
      <c r="D4098" s="2" t="inlineStr">
        <is>
          <t>Монитор Acer 31.5" SA322QKbmiipx черный VA LED 4ms 16:9 HDMI M/M матовая 250cd 178гр/178гр 3840x2160 60Hz FreeSync DP WQ 5.56кг</t>
        </is>
      </c>
      <c r="E4098" s="2" t="inlineStr">
        <is>
          <t>+ </t>
        </is>
      </c>
      <c r="F4098" s="2" t="inlineStr">
        <is>
          <t>+ </t>
        </is>
      </c>
      <c r="H4098" s="2">
        <v>353</v>
      </c>
      <c r="I4098" s="2" t="inlineStr">
        <is>
          <t>$</t>
        </is>
      </c>
      <c r="J4098" s="2">
        <f>HYPERLINK("https://app.astro.lead-studio.pro/product/ea99acc8-f946-4e92-9d94-6efc19fd87a1")</f>
      </c>
    </row>
    <row r="4099" spans="1:10" customHeight="0">
      <c r="A4099" s="2" t="inlineStr">
        <is>
          <t>Мониторы</t>
        </is>
      </c>
      <c r="B4099" s="2" t="inlineStr">
        <is>
          <t>ACER</t>
        </is>
      </c>
      <c r="C4099" s="2" t="inlineStr">
        <is>
          <t>UM.JS2EE.A05</t>
        </is>
      </c>
      <c r="D4099" s="2" t="inlineStr">
        <is>
          <t>Монитор Acer 31.5" SH322QUAbmiphux черный IPS LED 1ms 16:9 HDMI M/M матовая 300cd 178гр/178гр 2560x1440 75Hz FreeSync DP WQ HD 2K (1440p) USB 7.49кг</t>
        </is>
      </c>
      <c r="E4099" s="2" t="inlineStr">
        <is>
          <t>+ </t>
        </is>
      </c>
      <c r="F4099" s="2" t="inlineStr">
        <is>
          <t>+ </t>
        </is>
      </c>
      <c r="H4099" s="2">
        <v>330</v>
      </c>
      <c r="I4099" s="2" t="inlineStr">
        <is>
          <t>$</t>
        </is>
      </c>
      <c r="J4099" s="2">
        <f>HYPERLINK("https://app.astro.lead-studio.pro/product/3a875e53-3775-4d0b-a63f-bab8e8d911fa")</f>
      </c>
    </row>
    <row r="4100" spans="1:10" customHeight="0">
      <c r="A4100" s="2" t="inlineStr">
        <is>
          <t>Мониторы</t>
        </is>
      </c>
      <c r="B4100" s="2" t="inlineStr">
        <is>
          <t>ACER</t>
        </is>
      </c>
      <c r="C4100" s="2" t="inlineStr">
        <is>
          <t>UM.CB3EE.001</t>
        </is>
      </c>
      <c r="D4100" s="2" t="inlineStr">
        <is>
          <t>Монитор Acer 34" Vero CB343CURbemiiphuzx черный IPS LED 4ms 21:9 HDMI M/M матовая HAS 300cd 178гр/178гр 3440x1440 60Hz FreeSync DP 2K USB 8.87кг</t>
        </is>
      </c>
      <c r="E4100" s="2" t="inlineStr">
        <is>
          <t>+ </t>
        </is>
      </c>
      <c r="F4100" s="2" t="inlineStr">
        <is>
          <t>+ </t>
        </is>
      </c>
      <c r="H4100" s="2">
        <v>623</v>
      </c>
      <c r="I4100" s="2" t="inlineStr">
        <is>
          <t>$</t>
        </is>
      </c>
      <c r="J4100" s="2">
        <f>HYPERLINK("https://app.astro.lead-studio.pro/product/e53683a1-6513-4263-98a1-4642d05b1680")</f>
      </c>
    </row>
    <row r="4101" spans="1:10" customHeight="0">
      <c r="A4101" s="2" t="inlineStr">
        <is>
          <t>Мониторы</t>
        </is>
      </c>
      <c r="B4101" s="2" t="inlineStr">
        <is>
          <t>AOC</t>
        </is>
      </c>
      <c r="C4101" s="2" t="inlineStr">
        <is>
          <t>Q27P3QW</t>
        </is>
      </c>
      <c r="D4101" s="2" t="inlineStr">
        <is>
          <t>Монитор AOC 27" Pro Q27P3QW черный IPS LED 16:9 HDMI M/M Cam матовая HAS Piv 1000:1 350cd 178гр/178гр 2560x1440 75Hz DP QHD USB 6.6кг</t>
        </is>
      </c>
      <c r="E4101" s="2" t="inlineStr">
        <is>
          <t>+ </t>
        </is>
      </c>
      <c r="F4101" s="2" t="inlineStr">
        <is>
          <t>+ </t>
        </is>
      </c>
      <c r="H4101" s="2">
        <v>332</v>
      </c>
      <c r="I4101" s="2" t="inlineStr">
        <is>
          <t>$</t>
        </is>
      </c>
      <c r="J4101" s="2">
        <f>HYPERLINK("https://app.astro.lead-studio.pro/product/21405fbf-1197-40e4-8ab2-2e2a39479d87")</f>
      </c>
    </row>
    <row r="4102" spans="1:10" customHeight="0">
      <c r="A4102" s="2" t="inlineStr">
        <is>
          <t>Мониторы</t>
        </is>
      </c>
      <c r="B4102" s="2" t="inlineStr">
        <is>
          <t>AOC</t>
        </is>
      </c>
      <c r="C4102" s="2" t="inlineStr">
        <is>
          <t>U28G2XU2</t>
        </is>
      </c>
      <c r="D4102" s="2" t="inlineStr">
        <is>
          <t>Монитор AOC 28" Gaming U28G2XU2 черный/красный IPS LED 16:9 HDMI M/M матовая HAS Piv 370cd 178гр/178гр 3840x2160 144Hz DP 4K USB 6.37кг</t>
        </is>
      </c>
      <c r="E4102" s="2" t="inlineStr">
        <is>
          <t>+ </t>
        </is>
      </c>
      <c r="F4102" s="2" t="inlineStr">
        <is>
          <t>+ </t>
        </is>
      </c>
      <c r="H4102" s="2">
        <v>699</v>
      </c>
      <c r="I4102" s="2" t="inlineStr">
        <is>
          <t>$</t>
        </is>
      </c>
      <c r="J4102" s="2">
        <f>HYPERLINK("https://app.astro.lead-studio.pro/product/6cdd98c5-f3b4-4e0b-9097-037724d56764")</f>
      </c>
    </row>
    <row r="4103" spans="1:10" customHeight="0">
      <c r="A4103" s="2" t="inlineStr">
        <is>
          <t>Мониторы</t>
        </is>
      </c>
      <c r="B4103" s="2" t="inlineStr">
        <is>
          <t>AOC</t>
        </is>
      </c>
      <c r="C4103" s="2" t="inlineStr">
        <is>
          <t>CU34G2X</t>
        </is>
      </c>
      <c r="D4103" s="2" t="inlineStr">
        <is>
          <t>Монитор AOC 34" Gaming CU34G2X черный/красный VA LED 1ms 21:9 HDMI матовая HAS 300cd 178гр/178гр 3440x1440 144Hz FreeSync Premium DP FHD USB 8.1кг</t>
        </is>
      </c>
      <c r="E4103" s="2" t="inlineStr">
        <is>
          <t>+++ </t>
        </is>
      </c>
      <c r="F4103" s="2" t="inlineStr">
        <is>
          <t>+++ </t>
        </is>
      </c>
      <c r="H4103" s="2">
        <v>416</v>
      </c>
      <c r="I4103" s="2" t="inlineStr">
        <is>
          <t>$</t>
        </is>
      </c>
      <c r="J4103" s="2">
        <f>HYPERLINK("https://app.astro.lead-studio.pro/product/855f8d51-3abd-4f9b-97ab-ad3dc6a8f810")</f>
      </c>
    </row>
    <row r="4104" spans="1:10" customHeight="0">
      <c r="A4104" s="2" t="inlineStr">
        <is>
          <t>Мониторы</t>
        </is>
      </c>
      <c r="B4104" s="2" t="inlineStr">
        <is>
          <t>AOC</t>
        </is>
      </c>
      <c r="C4104" s="2" t="inlineStr">
        <is>
          <t>CU34G2X</t>
        </is>
      </c>
      <c r="D4104" s="2" t="inlineStr">
        <is>
          <t>Монитор AOC 34" Gaming CU34G2X черный/красный VA LED 1ms 21:9 HDMI матовая HAS 300cd 178гр/178гр 3440x1440 144Hz FreeSync Premium DP FHD USB 8.1кг</t>
        </is>
      </c>
      <c r="E4104" s="2" t="inlineStr">
        <is>
          <t>+ </t>
        </is>
      </c>
      <c r="F4104" s="2" t="inlineStr">
        <is>
          <t>+ </t>
        </is>
      </c>
      <c r="H4104" s="2">
        <v>367</v>
      </c>
      <c r="I4104" s="2" t="inlineStr">
        <is>
          <t>$</t>
        </is>
      </c>
      <c r="J4104" s="2">
        <f>HYPERLINK("https://app.astro.lead-studio.pro/product/855f8d51-3abd-4f9b-97ab-ad3dc6a8f810")</f>
      </c>
    </row>
    <row r="4105" spans="1:10" customHeight="0">
      <c r="A4105" s="2" t="inlineStr">
        <is>
          <t>Мониторы</t>
        </is>
      </c>
      <c r="B4105" s="2" t="inlineStr">
        <is>
          <t>ASUS</t>
        </is>
      </c>
      <c r="C4105" s="2" t="inlineStr">
        <is>
          <t>90LM08U0-B01170</t>
        </is>
      </c>
      <c r="D4105" s="2" t="inlineStr">
        <is>
          <t>Монитор Asus 15.6" ZenScreen MB16AHG черный IPS LED 16:9 матовая 300cd 178гр/178гр 1920x1080 144Hz FreeSync Premium FHD USB</t>
        </is>
      </c>
      <c r="E4105" s="2" t="inlineStr">
        <is>
          <t>+ </t>
        </is>
      </c>
      <c r="F4105" s="2" t="inlineStr">
        <is>
          <t>+ </t>
        </is>
      </c>
      <c r="H4105" s="2">
        <v>404</v>
      </c>
      <c r="I4105" s="2" t="inlineStr">
        <is>
          <t>$</t>
        </is>
      </c>
      <c r="J4105" s="2">
        <f>HYPERLINK("https://app.astro.lead-studio.pro/product/4ceb7820-2c69-492e-a672-5530717d242b")</f>
      </c>
    </row>
    <row r="4106" spans="1:10" customHeight="0">
      <c r="A4106" s="2" t="inlineStr">
        <is>
          <t>Мониторы</t>
        </is>
      </c>
      <c r="B4106" s="2" t="inlineStr">
        <is>
          <t>ASUS</t>
        </is>
      </c>
      <c r="C4106" s="2" t="inlineStr">
        <is>
          <t>90LM0381-B02370</t>
        </is>
      </c>
      <c r="D4106" s="2" t="inlineStr">
        <is>
          <t>Монитор Asus 15.6" ZenScreen MB16AHV черный IPS LED 16:9 матовая 250cd 178гр/178гр 1920x1080 60Hz FHD USB 0.9кг</t>
        </is>
      </c>
      <c r="E4106" s="2" t="inlineStr">
        <is>
          <t>+ </t>
        </is>
      </c>
      <c r="F4106" s="2" t="inlineStr">
        <is>
          <t>+ </t>
        </is>
      </c>
      <c r="H4106" s="2">
        <v>315</v>
      </c>
      <c r="I4106" s="2" t="inlineStr">
        <is>
          <t>$</t>
        </is>
      </c>
      <c r="J4106" s="2">
        <f>HYPERLINK("https://app.astro.lead-studio.pro/product/bcce1849-01d8-4ed8-89db-a77fed182a8b")</f>
      </c>
    </row>
    <row r="4107" spans="1:10" customHeight="0">
      <c r="A4107" s="2" t="inlineStr">
        <is>
          <t>Мониторы</t>
        </is>
      </c>
      <c r="B4107" s="2" t="inlineStr">
        <is>
          <t>ASUS</t>
        </is>
      </c>
      <c r="C4107" s="2" t="inlineStr">
        <is>
          <t>90LM08PG-B01170</t>
        </is>
      </c>
      <c r="D4107" s="2" t="inlineStr">
        <is>
          <t>Монитор Asus 17.3" ZenScreen MB17AHG черный IPS LED 16:9 HDMI матовая 300cd 178гр/178гр 1920x1080 144Hz FHD USB 1.29кг</t>
        </is>
      </c>
      <c r="E4107" s="2" t="inlineStr">
        <is>
          <t>+ </t>
        </is>
      </c>
      <c r="F4107" s="2" t="inlineStr">
        <is>
          <t>+ </t>
        </is>
      </c>
      <c r="H4107" s="2">
        <v>599</v>
      </c>
      <c r="I4107" s="2" t="inlineStr">
        <is>
          <t>$</t>
        </is>
      </c>
      <c r="J4107" s="2">
        <f>HYPERLINK("https://app.astro.lead-studio.pro/product/de1d29d4-4cdf-44fb-b41d-348d7aa80168")</f>
      </c>
    </row>
    <row r="4108" spans="1:10" customHeight="0">
      <c r="A4108" s="2" t="inlineStr">
        <is>
          <t>Мониторы</t>
        </is>
      </c>
      <c r="B4108" s="2" t="inlineStr">
        <is>
          <t>ASUS</t>
        </is>
      </c>
      <c r="C4108" s="2" t="inlineStr">
        <is>
          <t>90LM04B0-B01370</t>
        </is>
      </c>
      <c r="D4108" s="2" t="inlineStr">
        <is>
          <t>Монитор Asus 24" ProArt PA24AC черный IPS LED 16:10 HDMI M/M матовая HAS Piv 400cd 178гр/178гр 1920x1200 60Hz FreeSync DP FHD USB 6.5кг</t>
        </is>
      </c>
      <c r="E4108" s="2" t="inlineStr">
        <is>
          <t>+ </t>
        </is>
      </c>
      <c r="F4108" s="2" t="inlineStr">
        <is>
          <t>+ </t>
        </is>
      </c>
      <c r="H4108" s="2">
        <v>438</v>
      </c>
      <c r="I4108" s="2" t="inlineStr">
        <is>
          <t>$</t>
        </is>
      </c>
      <c r="J4108" s="2">
        <f>HYPERLINK("https://app.astro.lead-studio.pro/product/aa41f627-52bb-441f-976a-a5f06ca0c9bc")</f>
      </c>
    </row>
    <row r="4109" spans="1:10" customHeight="0">
      <c r="A4109" s="2" t="inlineStr">
        <is>
          <t>Мониторы</t>
        </is>
      </c>
      <c r="B4109" s="2" t="inlineStr">
        <is>
          <t>ASUS</t>
        </is>
      </c>
      <c r="C4109" s="2" t="inlineStr">
        <is>
          <t>90LM04V1-B01370</t>
        </is>
      </c>
      <c r="D4109" s="2" t="inlineStr">
        <is>
          <t>Монитор Asus 24.1" Business BE24WQLB черный IPS LED 16:10 HDMI M/M матовая HAS Piv 300cd 178гр/178гр 1920x1200 VGA DP FHD USB 6.1кг</t>
        </is>
      </c>
      <c r="E4109" s="2" t="inlineStr">
        <is>
          <t>++ </t>
        </is>
      </c>
      <c r="F4109" s="2" t="inlineStr">
        <is>
          <t>++ </t>
        </is>
      </c>
      <c r="H4109" s="2">
        <v>354</v>
      </c>
      <c r="I4109" s="2" t="inlineStr">
        <is>
          <t>$</t>
        </is>
      </c>
      <c r="J4109" s="2">
        <f>HYPERLINK("https://app.astro.lead-studio.pro/product/98435732-b685-4e9a-8fa2-3bfa4dbbb1d9")</f>
      </c>
    </row>
    <row r="4110" spans="1:10" customHeight="0">
      <c r="A4110" s="2" t="inlineStr">
        <is>
          <t>Мониторы</t>
        </is>
      </c>
      <c r="B4110" s="2" t="inlineStr">
        <is>
          <t>ASUS</t>
        </is>
      </c>
      <c r="C4110" s="2" t="inlineStr">
        <is>
          <t>90LM05K1-B03370</t>
        </is>
      </c>
      <c r="D4110" s="2" t="inlineStr">
        <is>
          <t>Монитор Asus 24.1" ProArt PA248CNV черный IPS LED 16:10 HDMI M/M матовая HAS Piv 300cd 178гр/178гр 1920x1200 75Hz DP WU USB 6.5кг</t>
        </is>
      </c>
      <c r="E4110" s="2" t="inlineStr">
        <is>
          <t>+ </t>
        </is>
      </c>
      <c r="F4110" s="2" t="inlineStr">
        <is>
          <t>+ </t>
        </is>
      </c>
      <c r="H4110" s="2">
        <v>488</v>
      </c>
      <c r="I4110" s="2" t="inlineStr">
        <is>
          <t>$</t>
        </is>
      </c>
      <c r="J4110" s="2">
        <f>HYPERLINK("https://app.astro.lead-studio.pro/product/8d91e43c-8e13-4a8f-baf5-293bb3251404")</f>
      </c>
    </row>
    <row r="4111" spans="1:10" customHeight="0">
      <c r="A4111" s="2" t="inlineStr">
        <is>
          <t>Мониторы</t>
        </is>
      </c>
      <c r="B4111" s="2" t="inlineStr">
        <is>
          <t>ASUS</t>
        </is>
      </c>
      <c r="C4111" s="2" t="inlineStr">
        <is>
          <t>90LM05K0-B01K70</t>
        </is>
      </c>
      <c r="D4111" s="2" t="inlineStr">
        <is>
          <t>Монитор Asus 24.1" ProArt PA248CRV черный IPS LED 16:10 HDMI M/M матовая HAS Piv 350cd 178гр/178гр 1920x1200 75Hz DP WU USB 5.9кг</t>
        </is>
      </c>
      <c r="E4111" s="2" t="inlineStr">
        <is>
          <t>++ </t>
        </is>
      </c>
      <c r="F4111" s="2" t="inlineStr">
        <is>
          <t>++ </t>
        </is>
      </c>
      <c r="H4111" s="2">
        <v>520</v>
      </c>
      <c r="I4111" s="2" t="inlineStr">
        <is>
          <t>$</t>
        </is>
      </c>
      <c r="J4111" s="2">
        <f>HYPERLINK("https://app.astro.lead-studio.pro/product/cf1b881f-678d-4892-b151-081534bfcef7")</f>
      </c>
    </row>
    <row r="4112" spans="1:10" customHeight="0">
      <c r="A4112" s="2" t="inlineStr">
        <is>
          <t>Мониторы</t>
        </is>
      </c>
      <c r="B4112" s="2" t="inlineStr">
        <is>
          <t>ASUS</t>
        </is>
      </c>
      <c r="C4112" s="2" t="inlineStr">
        <is>
          <t>90LM05K1-B01370</t>
        </is>
      </c>
      <c r="D4112" s="2" t="inlineStr">
        <is>
          <t>Монитор Asus 24.1" ProArt PA248QV черный IPS LED 16:10 HDMI M/M матовая HAS Piv 300cd 1920x1200 75Hz VGA DP FHD USB 6.1кг</t>
        </is>
      </c>
      <c r="E4112" s="2" t="inlineStr">
        <is>
          <t>+ </t>
        </is>
      </c>
      <c r="F4112" s="2" t="inlineStr">
        <is>
          <t>+ </t>
        </is>
      </c>
      <c r="H4112" s="2">
        <v>360</v>
      </c>
      <c r="I4112" s="2" t="inlineStr">
        <is>
          <t>$</t>
        </is>
      </c>
      <c r="J4112" s="2">
        <f>HYPERLINK("https://app.astro.lead-studio.pro/product/4935e24e-a2e3-4ac1-a71f-c9c03cc67bc1")</f>
      </c>
    </row>
    <row r="4113" spans="1:10" customHeight="0">
      <c r="A4113" s="2" t="inlineStr">
        <is>
          <t>Мониторы</t>
        </is>
      </c>
      <c r="B4113" s="2" t="inlineStr">
        <is>
          <t>ASUS</t>
        </is>
      </c>
      <c r="C4113" s="2" t="inlineStr">
        <is>
          <t>90LM08T0-B01370</t>
        </is>
      </c>
      <c r="D4113" s="2" t="inlineStr">
        <is>
          <t>Монитор Asus 24.1" ROG Swift PG248QP черный TN LED 16:9 HDMI матовая HAS Piv 400cd 170гр/160гр 1920x1080 540Hz DP FHD USB 7.5кг</t>
        </is>
      </c>
      <c r="E4113" s="2" t="inlineStr">
        <is>
          <t>+ </t>
        </is>
      </c>
      <c r="F4113" s="2" t="inlineStr">
        <is>
          <t>+ </t>
        </is>
      </c>
      <c r="H4113" s="2">
        <v>1234</v>
      </c>
      <c r="I4113" s="2" t="inlineStr">
        <is>
          <t>$</t>
        </is>
      </c>
      <c r="J4113" s="2">
        <f>HYPERLINK("https://app.astro.lead-studio.pro/product/c65af011-5a1c-48be-adda-100bdad0ca1d")</f>
      </c>
    </row>
    <row r="4114" spans="1:10" customHeight="0">
      <c r="A4114" s="2" t="inlineStr">
        <is>
          <t>Мониторы</t>
        </is>
      </c>
      <c r="B4114" s="2" t="inlineStr">
        <is>
          <t>ASUS</t>
        </is>
      </c>
      <c r="C4114" s="2" t="inlineStr">
        <is>
          <t>90LM0AH0-B01A70</t>
        </is>
      </c>
      <c r="D4114" s="2" t="inlineStr">
        <is>
          <t>Монитор Asus 26.5" ROG Strix XG27AQDMG черный OLED LED 16:9 HDMI глянцевая HAS Piv 1000:1 450cd 178гр/178гр 2560x1440 240Hz G-Sync FreeSync Premium DP 2K USB 6.7кг</t>
        </is>
      </c>
      <c r="E4114" s="2" t="inlineStr">
        <is>
          <t>+ </t>
        </is>
      </c>
      <c r="F4114" s="2" t="inlineStr">
        <is>
          <t>+ </t>
        </is>
      </c>
      <c r="H4114" s="2">
        <v>1227</v>
      </c>
      <c r="I4114" s="2" t="inlineStr">
        <is>
          <t>$</t>
        </is>
      </c>
      <c r="J4114" s="2">
        <f>HYPERLINK("https://app.astro.lead-studio.pro/product/b79a34c3-e354-479c-aa78-50b41c6ba599")</f>
      </c>
    </row>
    <row r="4115" spans="1:10" customHeight="0">
      <c r="A4115" s="2" t="inlineStr">
        <is>
          <t>Мониторы</t>
        </is>
      </c>
      <c r="B4115" s="2" t="inlineStr">
        <is>
          <t>ASUS</t>
        </is>
      </c>
      <c r="C4115" s="2" t="inlineStr">
        <is>
          <t>90LM03I1-B01370</t>
        </is>
      </c>
      <c r="D4115" s="2" t="inlineStr">
        <is>
          <t>Монитор Asus 27" Business BE27ACSBK черный IPS LED 16:9 HDMI M/M Cam матовая HAS Piv 350cd 178гр/178гр 2560x1440 60Hz DP WQ USB 8.6кг</t>
        </is>
      </c>
      <c r="E4115" s="2" t="inlineStr">
        <is>
          <t>+ </t>
        </is>
      </c>
      <c r="F4115" s="2" t="inlineStr">
        <is>
          <t>+ </t>
        </is>
      </c>
      <c r="H4115" s="2">
        <v>581</v>
      </c>
      <c r="I4115" s="2" t="inlineStr">
        <is>
          <t>$</t>
        </is>
      </c>
      <c r="J4115" s="2">
        <f>HYPERLINK("https://app.astro.lead-studio.pro/product/b7446314-3b90-45f0-a8f4-d46ca0189ef0")</f>
      </c>
    </row>
    <row r="4116" spans="1:10" customHeight="0">
      <c r="A4116" s="2" t="inlineStr">
        <is>
          <t>Мониторы</t>
        </is>
      </c>
      <c r="B4116" s="2" t="inlineStr">
        <is>
          <t>ASUS</t>
        </is>
      </c>
      <c r="C4116" s="2" t="inlineStr">
        <is>
          <t>90LM03I1-B01370</t>
        </is>
      </c>
      <c r="D4116" s="2" t="inlineStr">
        <is>
          <t>Монитор Asus 27" Business BE27ACSBK черный IPS LED 16:9 HDMI M/M Cam матовая HAS Piv 350cd 178гр/178гр 2560x1440 60Hz DP WQ USB 8.6кг</t>
        </is>
      </c>
      <c r="E4116" s="2" t="inlineStr">
        <is>
          <t>++ </t>
        </is>
      </c>
      <c r="F4116" s="2" t="inlineStr">
        <is>
          <t>++ </t>
        </is>
      </c>
      <c r="H4116" s="2">
        <v>610</v>
      </c>
      <c r="I4116" s="2" t="inlineStr">
        <is>
          <t>$</t>
        </is>
      </c>
      <c r="J4116" s="2">
        <f>HYPERLINK("https://app.astro.lead-studio.pro/product/b7446314-3b90-45f0-a8f4-d46ca0189ef0")</f>
      </c>
    </row>
    <row r="4117" spans="1:10" customHeight="0">
      <c r="A4117" s="2" t="inlineStr">
        <is>
          <t>Мониторы</t>
        </is>
      </c>
      <c r="B4117" s="2" t="inlineStr">
        <is>
          <t>ASUS</t>
        </is>
      </c>
      <c r="C4117" s="2" t="inlineStr">
        <is>
          <t>90LM09WJ-B02170</t>
        </is>
      </c>
      <c r="D4117" s="2" t="inlineStr">
        <is>
          <t>Монитор Asus 27" Business VA27UQSB черный IPS LED 16:9 HDMI M/M матовая HAS Piv 1000:1 350cd 178гр/178гр 3840x2160 60Hz DP 4K USB 6.5кг</t>
        </is>
      </c>
      <c r="E4117" s="2" t="inlineStr">
        <is>
          <t>+++ </t>
        </is>
      </c>
      <c r="F4117" s="2" t="inlineStr">
        <is>
          <t>+++ </t>
        </is>
      </c>
      <c r="H4117" s="2">
        <v>377</v>
      </c>
      <c r="I4117" s="2" t="inlineStr">
        <is>
          <t>$</t>
        </is>
      </c>
      <c r="J4117" s="2">
        <f>HYPERLINK("https://app.astro.lead-studio.pro/product/1c2edc89-e6a2-40f9-8423-6f1b8c192078")</f>
      </c>
    </row>
    <row r="4118" spans="1:10" customHeight="0">
      <c r="A4118" s="2" t="inlineStr">
        <is>
          <t>Мониторы</t>
        </is>
      </c>
      <c r="B4118" s="2" t="inlineStr">
        <is>
          <t>ASUS</t>
        </is>
      </c>
      <c r="C4118" s="2" t="inlineStr">
        <is>
          <t>90LM06Q1-B02370(B01370)</t>
        </is>
      </c>
      <c r="D4118" s="2" t="inlineStr">
        <is>
          <t>Монитор Asus 27" ProArt PA278CV черный IPS LED 16:9 HDMI M/M матовая HAS Piv 350cd 178гр/178гр 2560x1440 75Hz DP 2K USB 8.4кг</t>
        </is>
      </c>
      <c r="E4118" s="2" t="inlineStr">
        <is>
          <t>+++ </t>
        </is>
      </c>
      <c r="F4118" s="2" t="inlineStr">
        <is>
          <t>+++ </t>
        </is>
      </c>
      <c r="H4118" s="2">
        <v>481</v>
      </c>
      <c r="I4118" s="2" t="inlineStr">
        <is>
          <t>$</t>
        </is>
      </c>
      <c r="J4118" s="2">
        <f>HYPERLINK("https://app.astro.lead-studio.pro/product/2984f7ec-313e-4870-b4e8-fbca2fdce05e")</f>
      </c>
    </row>
    <row r="4119" spans="1:10" customHeight="0">
      <c r="A4119" s="2" t="inlineStr">
        <is>
          <t>Мониторы</t>
        </is>
      </c>
      <c r="B4119" s="2" t="inlineStr">
        <is>
          <t>ASUS</t>
        </is>
      </c>
      <c r="C4119" s="2" t="inlineStr">
        <is>
          <t>90LM04NC-B01370</t>
        </is>
      </c>
      <c r="D4119" s="2" t="inlineStr">
        <is>
          <t>Монитор Asus 27" ProArt PA27UCX-K черный IPS LED 16:9 HDMI M/M матовая HAS Piv 1000cd 178гр/178гр 3840x2160 60Hz DP 4K USB 11.5кг</t>
        </is>
      </c>
      <c r="E4119" s="2" t="inlineStr">
        <is>
          <t>+ </t>
        </is>
      </c>
      <c r="F4119" s="2" t="inlineStr">
        <is>
          <t>+ </t>
        </is>
      </c>
      <c r="H4119" s="2">
        <v>2619</v>
      </c>
      <c r="I4119" s="2" t="inlineStr">
        <is>
          <t>$</t>
        </is>
      </c>
      <c r="J4119" s="2">
        <f>HYPERLINK("https://app.astro.lead-studio.pro/product/dfb62c0b-27bd-41f0-9095-799afcf170b0")</f>
      </c>
    </row>
    <row r="4120" spans="1:10" customHeight="0">
      <c r="A4120" s="2" t="inlineStr">
        <is>
          <t>Мониторы</t>
        </is>
      </c>
      <c r="B4120" s="2" t="inlineStr">
        <is>
          <t>ASUS</t>
        </is>
      </c>
      <c r="C4120" s="2" t="inlineStr">
        <is>
          <t>90LM08Q0-B01A70</t>
        </is>
      </c>
      <c r="D4120" s="2" t="inlineStr">
        <is>
          <t>Монитор Asus 27" ROG Swift PG27AQDM черный OLED LED 16:9 HDMI M/M матовая HAS Piv 450cd 178гр/178гр 2560x1440 240Hz FreeSync Premium DP 2K USB 6.9кг</t>
        </is>
      </c>
      <c r="E4120" s="2" t="inlineStr">
        <is>
          <t>+ </t>
        </is>
      </c>
      <c r="F4120" s="2" t="inlineStr">
        <is>
          <t>+ </t>
        </is>
      </c>
      <c r="H4120" s="2">
        <v>1086</v>
      </c>
      <c r="I4120" s="2" t="inlineStr">
        <is>
          <t>$</t>
        </is>
      </c>
      <c r="J4120" s="2">
        <f>HYPERLINK("https://app.astro.lead-studio.pro/product/1588cf55-0532-428b-ab25-3af112c18d98")</f>
      </c>
    </row>
    <row r="4121" spans="1:10" customHeight="0">
      <c r="A4121" s="2" t="inlineStr">
        <is>
          <t>Мониторы</t>
        </is>
      </c>
      <c r="B4121" s="2" t="inlineStr">
        <is>
          <t>ASUS</t>
        </is>
      </c>
      <c r="C4121" s="2" t="inlineStr">
        <is>
          <t>90LM03A0-B02370</t>
        </is>
      </c>
      <c r="D4121" s="2" t="inlineStr">
        <is>
          <t>Монитор Asus 27" ROG Swift PG27UQR черный IPS LED 16:9 HDMI полуматовая HAS Piv 600cd 178гр/178гр 3840x2160 160Hz FreeSync Premium Pro DP WQ USB 7.4кг</t>
        </is>
      </c>
      <c r="E4121" s="2" t="inlineStr">
        <is>
          <t>+ </t>
        </is>
      </c>
      <c r="F4121" s="2" t="inlineStr">
        <is>
          <t>+ </t>
        </is>
      </c>
      <c r="H4121" s="2">
        <v>1096</v>
      </c>
      <c r="I4121" s="2" t="inlineStr">
        <is>
          <t>$</t>
        </is>
      </c>
      <c r="J4121" s="2">
        <f>HYPERLINK("https://app.astro.lead-studio.pro/product/807c4a2d-cfaf-489a-aeb8-ee756d17ac97")</f>
      </c>
    </row>
    <row r="4122" spans="1:10" customHeight="0">
      <c r="A4122" s="2" t="inlineStr">
        <is>
          <t>Мониторы</t>
        </is>
      </c>
      <c r="B4122" s="2" t="inlineStr">
        <is>
          <t>ASUS</t>
        </is>
      </c>
      <c r="C4122" s="2" t="inlineStr">
        <is>
          <t>90LM0500-B03370</t>
        </is>
      </c>
      <c r="D4122" s="2" t="inlineStr">
        <is>
          <t>Монитор Asus 27" TUF Gaming VG27AQ черный IPS LED 1ms 16:9 HDMI M/M матовая HAS Piv 1000:1 350cd 178гр/178гр 2560x1440 165Hz G-Sync FreeSync DP WQ 5.8кг</t>
        </is>
      </c>
      <c r="E4122" s="2" t="inlineStr">
        <is>
          <t>+++ </t>
        </is>
      </c>
      <c r="F4122" s="2" t="inlineStr">
        <is>
          <t>+++ </t>
        </is>
      </c>
      <c r="H4122" s="2">
        <v>434</v>
      </c>
      <c r="I4122" s="2" t="inlineStr">
        <is>
          <t>$</t>
        </is>
      </c>
      <c r="J4122" s="2">
        <f>HYPERLINK("https://app.astro.lead-studio.pro/product/39791c00-568b-4d21-ad47-cc12981be252")</f>
      </c>
    </row>
    <row r="4123" spans="1:10" customHeight="0">
      <c r="A4123" s="2" t="inlineStr">
        <is>
          <t>Мониторы</t>
        </is>
      </c>
      <c r="B4123" s="2" t="inlineStr">
        <is>
          <t>ASUS</t>
        </is>
      </c>
      <c r="C4123" s="2" t="inlineStr">
        <is>
          <t>90LM05Z0-B08370</t>
        </is>
      </c>
      <c r="D4123" s="2" t="inlineStr">
        <is>
          <t>Монитор Asus 27" TUF Gaming VG27AQM1A черный IPS LED 16:9 HDMI M/M матовая 400cd 178гр/178гр 2560x1440 260Hz DP WQ USB 5кг</t>
        </is>
      </c>
      <c r="E4123" s="2" t="inlineStr">
        <is>
          <t>+ </t>
        </is>
      </c>
      <c r="F4123" s="2" t="inlineStr">
        <is>
          <t>+ </t>
        </is>
      </c>
      <c r="H4123" s="2">
        <v>547</v>
      </c>
      <c r="I4123" s="2" t="inlineStr">
        <is>
          <t>$</t>
        </is>
      </c>
      <c r="J4123" s="2">
        <f>HYPERLINK("https://app.astro.lead-studio.pro/product/538c7d15-1a08-4c5b-8146-e84b86612db3")</f>
      </c>
    </row>
    <row r="4124" spans="1:10" customHeight="0">
      <c r="A4124" s="2" t="inlineStr">
        <is>
          <t>Мониторы</t>
        </is>
      </c>
      <c r="B4124" s="2" t="inlineStr">
        <is>
          <t>ASUS</t>
        </is>
      </c>
      <c r="C4124" s="2" t="inlineStr">
        <is>
          <t>90LM0510-B04E70</t>
        </is>
      </c>
      <c r="D4124" s="2" t="inlineStr">
        <is>
          <t>Монитор Asus 27" TUF Gaming VG27VQ черный VA LED 16:9 DVI HDMI M/M матовая HAS Piv 400cd 178гр/178гр 1920x1080 165Hz FreeSync DP FHD 6кг</t>
        </is>
      </c>
      <c r="E4124" s="2" t="inlineStr">
        <is>
          <t>+ </t>
        </is>
      </c>
      <c r="F4124" s="2" t="inlineStr">
        <is>
          <t>+ </t>
        </is>
      </c>
      <c r="H4124" s="2">
        <v>403</v>
      </c>
      <c r="I4124" s="2" t="inlineStr">
        <is>
          <t>$</t>
        </is>
      </c>
      <c r="J4124" s="2">
        <f>HYPERLINK("https://app.astro.lead-studio.pro/product/c8340869-8f5b-4ead-b9bc-10c926309d34")</f>
      </c>
    </row>
    <row r="4125" spans="1:10" customHeight="0">
      <c r="A4125" s="2" t="inlineStr">
        <is>
          <t>Мониторы</t>
        </is>
      </c>
      <c r="B4125" s="2" t="inlineStr">
        <is>
          <t>ASUS</t>
        </is>
      </c>
      <c r="C4125" s="2" t="inlineStr">
        <is>
          <t>90LM06GJ-B01170</t>
        </is>
      </c>
      <c r="D4125" s="2" t="inlineStr">
        <is>
          <t>Монитор Asus 27" VA27ACFSN черный IPS LED 16:9 HDMI M/M матовая HAS Piv 350cd 178гр/178гр 2560x1440 100Hz DP 2K USB 6.8кг</t>
        </is>
      </c>
      <c r="E4125" s="2" t="inlineStr">
        <is>
          <t>+++ </t>
        </is>
      </c>
      <c r="F4125" s="2" t="inlineStr">
        <is>
          <t>+++ </t>
        </is>
      </c>
      <c r="H4125" s="2">
        <v>416</v>
      </c>
      <c r="I4125" s="2" t="inlineStr">
        <is>
          <t>$</t>
        </is>
      </c>
      <c r="J4125" s="2">
        <f>HYPERLINK("https://app.astro.lead-studio.pro/product/4698115e-f571-4e46-86ed-518608112b7e")</f>
      </c>
    </row>
    <row r="4126" spans="1:10" customHeight="0">
      <c r="A4126" s="2" t="inlineStr">
        <is>
          <t>Мониторы</t>
        </is>
      </c>
      <c r="B4126" s="2" t="inlineStr">
        <is>
          <t>ASUS</t>
        </is>
      </c>
      <c r="C4126" s="2" t="inlineStr">
        <is>
          <t>90LM09IK-B01K70</t>
        </is>
      </c>
      <c r="D4126" s="2" t="inlineStr">
        <is>
          <t>Монитор Asus 27" VU279CFE-B черный IPS LED 1ms 16:9 HDMI матовая HAS 1300:1 250cd 178гр/178гр 1920x1080 100Hz FHD USB 4.8кг</t>
        </is>
      </c>
      <c r="E4126" s="2" t="inlineStr">
        <is>
          <t>+ </t>
        </is>
      </c>
      <c r="F4126" s="2" t="inlineStr">
        <is>
          <t>+ </t>
        </is>
      </c>
      <c r="H4126" s="2">
        <v>373</v>
      </c>
      <c r="I4126" s="2" t="inlineStr">
        <is>
          <t>$</t>
        </is>
      </c>
      <c r="J4126" s="2">
        <f>HYPERLINK("https://app.astro.lead-studio.pro/product/55914112-a1ad-42dc-a134-94f1b3e8480b")</f>
      </c>
    </row>
    <row r="4127" spans="1:10" customHeight="0">
      <c r="A4127" s="2" t="inlineStr">
        <is>
          <t>Мониторы</t>
        </is>
      </c>
      <c r="B4127" s="2" t="inlineStr">
        <is>
          <t>ASUS</t>
        </is>
      </c>
      <c r="C4127" s="2" t="inlineStr">
        <is>
          <t>90LM0780-B01170</t>
        </is>
      </c>
      <c r="D4127" s="2" t="inlineStr">
        <is>
          <t>Монитор Asus 28" TUF Gaming VG28UQL1A черный IPS LED 16:9 HDMI M/M матовая HAS Piv 450cd 178гр/178гр 3840x2160 144Hz G-Sync FreeSync Premium DP 4K USB 6.89кг</t>
        </is>
      </c>
      <c r="E4127" s="2" t="inlineStr">
        <is>
          <t>+ </t>
        </is>
      </c>
      <c r="F4127" s="2" t="inlineStr">
        <is>
          <t>+ </t>
        </is>
      </c>
      <c r="H4127" s="2">
        <v>734</v>
      </c>
      <c r="I4127" s="2" t="inlineStr">
        <is>
          <t>$</t>
        </is>
      </c>
      <c r="J4127" s="2">
        <f>HYPERLINK("https://app.astro.lead-studio.pro/product/2c019d42-fd3f-4c78-84dd-c78e90cd8a7e")</f>
      </c>
    </row>
    <row r="4128" spans="1:10" customHeight="0">
      <c r="A4128" s="2" t="inlineStr">
        <is>
          <t>Мониторы</t>
        </is>
      </c>
      <c r="B4128" s="2" t="inlineStr">
        <is>
          <t>ASUS</t>
        </is>
      </c>
      <c r="C4128" s="2" t="inlineStr">
        <is>
          <t>90LM0780-B01170</t>
        </is>
      </c>
      <c r="D4128" s="2" t="inlineStr">
        <is>
          <t>Монитор Asus 28" TUF Gaming VG28UQL1A черный IPS LED 16:9 HDMI M/M матовая HAS Piv 450cd 178гр/178гр 3840x2160 144Hz G-Sync FreeSync Premium DP 4K USB 6.89кг</t>
        </is>
      </c>
      <c r="E4128" s="2" t="inlineStr">
        <is>
          <t>+ </t>
        </is>
      </c>
      <c r="F4128" s="2" t="inlineStr">
        <is>
          <t>+ </t>
        </is>
      </c>
      <c r="H4128" s="2">
        <v>734</v>
      </c>
      <c r="I4128" s="2" t="inlineStr">
        <is>
          <t>$</t>
        </is>
      </c>
      <c r="J4128" s="2">
        <f>HYPERLINK("https://app.astro.lead-studio.pro/product/2c019d42-fd3f-4c78-84dd-c78e90cd8a7e")</f>
      </c>
    </row>
    <row r="4129" spans="1:10" customHeight="0">
      <c r="A4129" s="2" t="inlineStr">
        <is>
          <t>Мониторы</t>
        </is>
      </c>
      <c r="B4129" s="2" t="inlineStr">
        <is>
          <t>ASUS</t>
        </is>
      </c>
      <c r="C4129" s="2" t="inlineStr">
        <is>
          <t>90LM00X0-B02370</t>
        </is>
      </c>
      <c r="D4129" s="2" t="inlineStr">
        <is>
          <t>Монитор Asus 31.5" ProArt PA328QV черный IPS LED 16:9 HDMI M/M матовая HAS Piv 350cd 178гр/178гр 2560x1440 75Hz DP 2K USB 11.5кг</t>
        </is>
      </c>
      <c r="E4129" s="2" t="inlineStr">
        <is>
          <t>++ </t>
        </is>
      </c>
      <c r="F4129" s="2" t="inlineStr">
        <is>
          <t>++ </t>
        </is>
      </c>
      <c r="H4129" s="2">
        <v>594</v>
      </c>
      <c r="I4129" s="2" t="inlineStr">
        <is>
          <t>$</t>
        </is>
      </c>
      <c r="J4129" s="2">
        <f>HYPERLINK("https://app.astro.lead-studio.pro/product/305e3ff5-2106-46fd-a5e8-86c9207a252a")</f>
      </c>
    </row>
    <row r="4130" spans="1:10" customHeight="0">
      <c r="A4130" s="2" t="inlineStr">
        <is>
          <t>Мониторы</t>
        </is>
      </c>
      <c r="B4130" s="2" t="inlineStr">
        <is>
          <t>ASUS</t>
        </is>
      </c>
      <c r="C4130" s="2" t="inlineStr">
        <is>
          <t>90LM02C0-B01K70</t>
        </is>
      </c>
      <c r="D4130" s="2" t="inlineStr">
        <is>
          <t>Монитор Asus 31.5" ProArt PA329CRV черный IPS LED 16:9 HDMI M/M матовая HAS Piv 400cd 178гр/178гр 3840x2160 60Hz DP 4K USB 9.9кг</t>
        </is>
      </c>
      <c r="E4130" s="2" t="inlineStr">
        <is>
          <t>+ </t>
        </is>
      </c>
      <c r="F4130" s="2" t="inlineStr">
        <is>
          <t>+ </t>
        </is>
      </c>
      <c r="H4130" s="2">
        <v>1115</v>
      </c>
      <c r="I4130" s="2" t="inlineStr">
        <is>
          <t>$</t>
        </is>
      </c>
      <c r="J4130" s="2">
        <f>HYPERLINK("https://app.astro.lead-studio.pro/product/ae36e2f2-573c-4630-a36c-7b1565122aa6")</f>
      </c>
    </row>
    <row r="4131" spans="1:10" customHeight="0">
      <c r="A4131" s="2" t="inlineStr">
        <is>
          <t>Мониторы</t>
        </is>
      </c>
      <c r="B4131" s="2" t="inlineStr">
        <is>
          <t>ASUS</t>
        </is>
      </c>
      <c r="C4131" s="2" t="inlineStr">
        <is>
          <t>90LM08L0-B01970</t>
        </is>
      </c>
      <c r="D4131" s="2" t="inlineStr">
        <is>
          <t>Монитор Asus 31.5" TUF Gaming VG32UQA1A черный VA LED 1ms 16:9 HDMI M/M матовая 400cd 178гр/178гр 3840x2160 160Hz FreeSync Premium DP Quad 4K (2160p) USB 7.5кг</t>
        </is>
      </c>
      <c r="E4131" s="2" t="inlineStr">
        <is>
          <t>+ </t>
        </is>
      </c>
      <c r="F4131" s="2" t="inlineStr">
        <is>
          <t>+ </t>
        </is>
      </c>
      <c r="H4131" s="2">
        <v>781</v>
      </c>
      <c r="I4131" s="2" t="inlineStr">
        <is>
          <t>$</t>
        </is>
      </c>
      <c r="J4131" s="2">
        <f>HYPERLINK("https://app.astro.lead-studio.pro/product/afe08b11-2aed-44e6-a05b-e55466b0be23")</f>
      </c>
    </row>
    <row r="4132" spans="1:10" customHeight="0">
      <c r="A4132" s="2" t="inlineStr">
        <is>
          <t>Мониторы</t>
        </is>
      </c>
      <c r="B4132" s="2" t="inlineStr">
        <is>
          <t>ASUS</t>
        </is>
      </c>
      <c r="C4132" s="2" t="inlineStr">
        <is>
          <t>90LM04W7-B01E70</t>
        </is>
      </c>
      <c r="D4132" s="2" t="inlineStr">
        <is>
          <t>Монитор Asus 31.5" VA32UQSB черный IPS LED 16:9 HDMI M/M матовая HAS Piv 350cd 178гр/178гр 3840x2160 60Hz DP 4K USB 9.34кг</t>
        </is>
      </c>
      <c r="E4132" s="2" t="inlineStr">
        <is>
          <t>+++ </t>
        </is>
      </c>
      <c r="F4132" s="2" t="inlineStr">
        <is>
          <t>+++ </t>
        </is>
      </c>
      <c r="H4132" s="2">
        <v>444</v>
      </c>
      <c r="I4132" s="2" t="inlineStr">
        <is>
          <t>$</t>
        </is>
      </c>
      <c r="J4132" s="2">
        <f>HYPERLINK("https://app.astro.lead-studio.pro/product/065d42d8-22ff-410d-adac-7ddcfb97ba1f")</f>
      </c>
    </row>
    <row r="4133" spans="1:10" customHeight="0">
      <c r="A4133" s="2" t="inlineStr">
        <is>
          <t>Мониторы</t>
        </is>
      </c>
      <c r="B4133" s="2" t="inlineStr">
        <is>
          <t>ASUS</t>
        </is>
      </c>
      <c r="C4133" s="2" t="inlineStr">
        <is>
          <t>90LM06R1-B01170</t>
        </is>
      </c>
      <c r="D4133" s="2" t="inlineStr">
        <is>
          <t>Монитор Asus 32" ProArt PA328CGV черный IPS LED 16:9 HDMI матовая HAS Piv 450cd 178гр/178гр 2560x1440 165Hz DP 2K USB 11.7кг</t>
        </is>
      </c>
      <c r="E4133" s="2" t="inlineStr">
        <is>
          <t>++ </t>
        </is>
      </c>
      <c r="F4133" s="2" t="inlineStr">
        <is>
          <t>++ </t>
        </is>
      </c>
      <c r="H4133" s="2">
        <v>836</v>
      </c>
      <c r="I4133" s="2" t="inlineStr">
        <is>
          <t>$</t>
        </is>
      </c>
      <c r="J4133" s="2">
        <f>HYPERLINK("https://app.astro.lead-studio.pro/product/3b1edd18-a436-494d-8ee1-26b43a132fe7")</f>
      </c>
    </row>
    <row r="4134" spans="1:10" customHeight="0">
      <c r="A4134" s="2" t="inlineStr">
        <is>
          <t>Мониторы</t>
        </is>
      </c>
      <c r="B4134" s="2" t="inlineStr">
        <is>
          <t>ASUS</t>
        </is>
      </c>
      <c r="C4134" s="2" t="inlineStr">
        <is>
          <t>90LM03H3-B02370</t>
        </is>
      </c>
      <c r="D4134" s="2" t="inlineStr">
        <is>
          <t>Монитор Asus 32" ProArt PA32UCR-K черный IPS Mini-LED LED 16:9 HDMI M/M матовая HAS Piv 400cd 178гр/178гр 3840x2160 60Hz DP 4K USB 12.3кг</t>
        </is>
      </c>
      <c r="E4134" s="2" t="inlineStr">
        <is>
          <t>+ </t>
        </is>
      </c>
      <c r="F4134" s="2" t="inlineStr">
        <is>
          <t>+ </t>
        </is>
      </c>
      <c r="H4134" s="2">
        <v>1650</v>
      </c>
      <c r="I4134" s="2" t="inlineStr">
        <is>
          <t>$</t>
        </is>
      </c>
      <c r="J4134" s="2">
        <f>HYPERLINK("https://app.astro.lead-studio.pro/product/99c2566e-2be1-40c5-9dff-48b583f31b5a")</f>
      </c>
    </row>
    <row r="4135" spans="1:10" customHeight="0">
      <c r="A4135" s="2" t="inlineStr">
        <is>
          <t>Мониторы</t>
        </is>
      </c>
      <c r="B4135" s="2" t="inlineStr">
        <is>
          <t>ASUS</t>
        </is>
      </c>
      <c r="C4135" s="2" t="inlineStr">
        <is>
          <t>90LM08B0-B01170</t>
        </is>
      </c>
      <c r="D4135" s="2" t="inlineStr">
        <is>
          <t>Монитор Asus 32" ROG Strix XG32UQ черный IPS LED 16:9 HDMI матовая HAS Piv 450cd 178гр/178гр 3840x2160 160Hz G-Sync DP 4K USB 8.9кг</t>
        </is>
      </c>
      <c r="E4135" s="2" t="inlineStr">
        <is>
          <t>+ </t>
        </is>
      </c>
      <c r="F4135" s="2" t="inlineStr">
        <is>
          <t>+ </t>
        </is>
      </c>
      <c r="H4135" s="2">
        <v>1218</v>
      </c>
      <c r="I4135" s="2" t="inlineStr">
        <is>
          <t>$</t>
        </is>
      </c>
      <c r="J4135" s="2">
        <f>HYPERLINK("https://app.astro.lead-studio.pro/product/ee2a31d5-9f87-4010-bbeb-830af6bb874a")</f>
      </c>
    </row>
    <row r="4136" spans="1:10" customHeight="0">
      <c r="A4136" s="2" t="inlineStr">
        <is>
          <t>Мониторы</t>
        </is>
      </c>
      <c r="B4136" s="2" t="inlineStr">
        <is>
          <t>ASUS</t>
        </is>
      </c>
      <c r="C4136" s="2" t="inlineStr">
        <is>
          <t>90LM07Z0-B01370</t>
        </is>
      </c>
      <c r="D4136" s="2" t="inlineStr">
        <is>
          <t>Монитор Asus 34" ProArt PA348CGV черный IPS LED 21:9 HDMI M/M матовая HAS Piv 400cd 178гр/178гр 3440x1440 120Hz FreeSync Premium Pro DP 2K USB 12.2кг</t>
        </is>
      </c>
      <c r="E4136" s="2" t="inlineStr">
        <is>
          <t>++ </t>
        </is>
      </c>
      <c r="F4136" s="2" t="inlineStr">
        <is>
          <t>++ </t>
        </is>
      </c>
      <c r="H4136" s="2">
        <v>1123</v>
      </c>
      <c r="I4136" s="2" t="inlineStr">
        <is>
          <t>$</t>
        </is>
      </c>
      <c r="J4136" s="2">
        <f>HYPERLINK("https://app.astro.lead-studio.pro/product/bf08d909-7901-431e-8066-5a2799e34fb6")</f>
      </c>
    </row>
    <row r="4137" spans="1:10" customHeight="0">
      <c r="A4137" s="2" t="inlineStr">
        <is>
          <t>Мониторы</t>
        </is>
      </c>
      <c r="B4137" s="2" t="inlineStr">
        <is>
          <t>ASUS</t>
        </is>
      </c>
      <c r="C4137" s="2" t="inlineStr">
        <is>
          <t>90LM09L0-B01A70</t>
        </is>
      </c>
      <c r="D4137" s="2" t="inlineStr">
        <is>
          <t>Монитор Asus 34" ROG Swift PG34WCDM черный OLED LED 21:9 HDMI матовая HAS Piv 450cd 178гр/178гр 3440x1440 240Hz FreeSync Premium DP 2K USB 8.4кг</t>
        </is>
      </c>
      <c r="E4137" s="2" t="inlineStr">
        <is>
          <t>+ </t>
        </is>
      </c>
      <c r="F4137" s="2" t="inlineStr">
        <is>
          <t>+ </t>
        </is>
      </c>
      <c r="H4137" s="2">
        <v>1882</v>
      </c>
      <c r="I4137" s="2" t="inlineStr">
        <is>
          <t>$</t>
        </is>
      </c>
      <c r="J4137" s="2">
        <f>HYPERLINK("https://app.astro.lead-studio.pro/product/6ea88d55-b368-406c-8a1f-f42ce0277037")</f>
      </c>
    </row>
    <row r="4138" spans="1:10" customHeight="0">
      <c r="A4138" s="2" t="inlineStr">
        <is>
          <t>Мониторы</t>
        </is>
      </c>
      <c r="B4138" s="2" t="inlineStr">
        <is>
          <t>ASUS</t>
        </is>
      </c>
      <c r="C4138" s="2" t="inlineStr">
        <is>
          <t>90LM08JJ-B01170</t>
        </is>
      </c>
      <c r="D4138" s="2" t="inlineStr">
        <is>
          <t>Монитор Asus 34" VA34VCPSN черный VA LED 21:9 HDMI M/M матовая HAS Piv 3000:1 300cd 178гр/178гр 3440x1440 100Hz DP 2K USB 9.52кг</t>
        </is>
      </c>
      <c r="E4138" s="2" t="inlineStr">
        <is>
          <t>+ </t>
        </is>
      </c>
      <c r="F4138" s="2" t="inlineStr">
        <is>
          <t>+ </t>
        </is>
      </c>
      <c r="H4138" s="2">
        <v>598</v>
      </c>
      <c r="I4138" s="2" t="inlineStr">
        <is>
          <t>$</t>
        </is>
      </c>
      <c r="J4138" s="2">
        <f>HYPERLINK("https://app.astro.lead-studio.pro/product/4a0e946e-8137-42cf-b09f-44ae3ed871bb")</f>
      </c>
    </row>
    <row r="4139" spans="1:10" customHeight="0">
      <c r="A4139" s="2" t="inlineStr">
        <is>
          <t>Мониторы</t>
        </is>
      </c>
      <c r="B4139" s="2" t="inlineStr">
        <is>
          <t>ASUS</t>
        </is>
      </c>
      <c r="C4139" s="2" t="inlineStr">
        <is>
          <t>90LM04A0-B02370</t>
        </is>
      </c>
      <c r="D4139" s="2" t="inlineStr">
        <is>
          <t>Монитор Asus 34.1" ProArt PA34VCNV черный IPS LED 21:9 HDMI M/M матовая HAS Piv 1000:1 300cd 178гр/178гр 3440x1440 60Hz DP 2K USB 10.8кг</t>
        </is>
      </c>
      <c r="E4139" s="2" t="inlineStr">
        <is>
          <t>+ </t>
        </is>
      </c>
      <c r="F4139" s="2" t="inlineStr">
        <is>
          <t>+ </t>
        </is>
      </c>
      <c r="H4139" s="2">
        <v>891</v>
      </c>
      <c r="I4139" s="2" t="inlineStr">
        <is>
          <t>$</t>
        </is>
      </c>
      <c r="J4139" s="2">
        <f>HYPERLINK("https://app.astro.lead-studio.pro/product/fdd4f442-0c26-4991-9641-2f72bae98650")</f>
      </c>
    </row>
    <row r="4140" spans="1:10" customHeight="0">
      <c r="A4140" s="2" t="inlineStr">
        <is>
          <t>Мониторы</t>
        </is>
      </c>
      <c r="B4140" s="2" t="inlineStr">
        <is>
          <t>ASUS</t>
        </is>
      </c>
      <c r="C4140" s="2" t="inlineStr">
        <is>
          <t>90LM0850-B01170</t>
        </is>
      </c>
      <c r="D4140" s="2" t="inlineStr">
        <is>
          <t>Монитор Asus 42" ROG Swift PG42UQ черный OLED LED 16:9 HDMI M/M матовая 450cd 178гр/178гр 3840x2160 138Hz DP SPDIF 4K USB 14.77кг</t>
        </is>
      </c>
      <c r="E4140" s="2" t="inlineStr">
        <is>
          <t>+ </t>
        </is>
      </c>
      <c r="F4140" s="2" t="inlineStr">
        <is>
          <t>+ </t>
        </is>
      </c>
      <c r="H4140" s="2">
        <v>2236</v>
      </c>
      <c r="I4140" s="2" t="inlineStr">
        <is>
          <t>$</t>
        </is>
      </c>
      <c r="J4140" s="2">
        <f>HYPERLINK("https://app.astro.lead-studio.pro/product/b75ad709-87de-45db-8fda-46ad6c84e41f")</f>
      </c>
    </row>
    <row r="4141" spans="1:10" customHeight="0">
      <c r="A4141" s="2" t="inlineStr">
        <is>
          <t>Мониторы</t>
        </is>
      </c>
      <c r="B4141" s="2" t="inlineStr">
        <is>
          <t>ASUS</t>
        </is>
      </c>
      <c r="C4141" s="2" t="inlineStr">
        <is>
          <t>90LM0840-B01970</t>
        </is>
      </c>
      <c r="D4141" s="2" t="inlineStr">
        <is>
          <t>Монитор Asus 47.53" ROG Swift PG48UQ черный OLED LED 16:9 HDMI M/M матовая HAS 450cd 178гр/178гр 3840x2160 138Hz G-Sync DP SPDIF 4K USB 16.2кг</t>
        </is>
      </c>
      <c r="E4141" s="2" t="inlineStr">
        <is>
          <t>+ </t>
        </is>
      </c>
      <c r="F4141" s="2" t="inlineStr">
        <is>
          <t>+ </t>
        </is>
      </c>
      <c r="H4141" s="2">
        <v>2112</v>
      </c>
      <c r="I4141" s="2" t="inlineStr">
        <is>
          <t>$</t>
        </is>
      </c>
      <c r="J4141" s="2">
        <f>HYPERLINK("https://app.astro.lead-studio.pro/product/6ee0e4fd-7481-4e0c-9f88-a04246127f4a")</f>
      </c>
    </row>
    <row r="4142" spans="1:10" customHeight="0">
      <c r="A4142" s="2" t="inlineStr">
        <is>
          <t>Мониторы</t>
        </is>
      </c>
      <c r="B4142" s="2" t="inlineStr">
        <is>
          <t>ASUS</t>
        </is>
      </c>
      <c r="C4142" s="2" t="inlineStr">
        <is>
          <t>90LM04H0-B01170</t>
        </is>
      </c>
      <c r="D4142" s="2" t="inlineStr">
        <is>
          <t>Монитор Asus 49" ROG Strix XG49VQ черный VA LED 32:9 HDMI M/M матовая HAS Piv 450cd 3840x1080 144Hz FreeSync 2 DP FHD USB 12.2кг</t>
        </is>
      </c>
      <c r="E4142" s="2" t="inlineStr">
        <is>
          <t>++ </t>
        </is>
      </c>
      <c r="F4142" s="2" t="inlineStr">
        <is>
          <t>++ </t>
        </is>
      </c>
      <c r="H4142" s="2">
        <v>1165</v>
      </c>
      <c r="I4142" s="2" t="inlineStr">
        <is>
          <t>$</t>
        </is>
      </c>
      <c r="J4142" s="2">
        <f>HYPERLINK("https://app.astro.lead-studio.pro/product/abaaedbc-1da1-4595-b7fb-775dfda8e816")</f>
      </c>
    </row>
    <row r="4143" spans="1:10" customHeight="0">
      <c r="A4143" s="2" t="inlineStr">
        <is>
          <t>Мониторы</t>
        </is>
      </c>
      <c r="B4143" s="2" t="inlineStr">
        <is>
          <t>ASUS</t>
        </is>
      </c>
      <c r="C4143" s="2" t="inlineStr">
        <is>
          <t>90LM08I0-B01170</t>
        </is>
      </c>
      <c r="D4143" s="2" t="inlineStr">
        <is>
          <t>Монитор Asus 49" ROG Strix XG49WCR черный VA LED 1ms 32:9 HDMI матовая HAS Piv 450cd 178гр/178гр 5120x1440 165Hz DP 5K USB 14.92кг</t>
        </is>
      </c>
      <c r="E4143" s="2" t="inlineStr">
        <is>
          <t>+ </t>
        </is>
      </c>
      <c r="F4143" s="2" t="inlineStr">
        <is>
          <t>+ </t>
        </is>
      </c>
      <c r="H4143" s="2">
        <v>1255</v>
      </c>
      <c r="I4143" s="2" t="inlineStr">
        <is>
          <t>$</t>
        </is>
      </c>
      <c r="J4143" s="2">
        <f>HYPERLINK("https://app.astro.lead-studio.pro/product/f51bb135-0184-4fff-afb6-9774d18dcce1")</f>
      </c>
    </row>
    <row r="4144" spans="1:10" customHeight="0">
      <c r="A4144" s="2" t="inlineStr">
        <is>
          <t>Мониторы</t>
        </is>
      </c>
      <c r="B4144" s="2" t="inlineStr">
        <is>
          <t>BLOODY</t>
        </is>
      </c>
      <c r="C4144" s="2" t="inlineStr">
        <is>
          <t>MN272Q</t>
        </is>
      </c>
      <c r="D4144" s="2" t="inlineStr">
        <is>
          <t>Монитор Bloody 27" MN272Q светло-серый IPS LED 1ms 16:9 HDMI M/M матовая HAS 400cd 178гр/178гр 2560x1440 240Hz G-Sync FreeSync DP 2K 6.55кг</t>
        </is>
      </c>
      <c r="E4144" s="2" t="inlineStr">
        <is>
          <t>+++ </t>
        </is>
      </c>
      <c r="F4144" s="2" t="inlineStr">
        <is>
          <t>+++ </t>
        </is>
      </c>
      <c r="H4144" s="2">
        <v>418</v>
      </c>
      <c r="I4144" s="2" t="inlineStr">
        <is>
          <t>$</t>
        </is>
      </c>
      <c r="J4144" s="2">
        <f>HYPERLINK("https://app.astro.lead-studio.pro/product/b9aaa860-efc5-4c65-98a3-57fcffcabd97")</f>
      </c>
    </row>
    <row r="4145" spans="1:10" customHeight="0">
      <c r="A4145" s="2" t="inlineStr">
        <is>
          <t>Мониторы</t>
        </is>
      </c>
      <c r="B4145" s="2" t="inlineStr">
        <is>
          <t>BLOODY</t>
        </is>
      </c>
      <c r="C4145" s="2" t="inlineStr">
        <is>
          <t>MN272Q</t>
        </is>
      </c>
      <c r="D4145" s="2" t="inlineStr">
        <is>
          <t>Монитор Bloody 27" MN272Q темно-серый IPS LED 1ms 16:9 HDMI M/M матовая HAS Piv 400cd 178гр/178гр 2560x1440 240Hz G-Sync FreeSync DP 2K 6.55кг</t>
        </is>
      </c>
      <c r="E4145" s="2" t="inlineStr">
        <is>
          <t>+++ </t>
        </is>
      </c>
      <c r="F4145" s="2" t="inlineStr">
        <is>
          <t>+++ </t>
        </is>
      </c>
      <c r="H4145" s="2">
        <v>425</v>
      </c>
      <c r="I4145" s="2" t="inlineStr">
        <is>
          <t>$</t>
        </is>
      </c>
      <c r="J4145" s="2">
        <f>HYPERLINK("https://app.astro.lead-studio.pro/product/b9aaa860-efc5-4c65-98a3-57fcffcabd97")</f>
      </c>
    </row>
    <row r="4146" spans="1:10" customHeight="0">
      <c r="A4146" s="2" t="inlineStr">
        <is>
          <t>Мониторы</t>
        </is>
      </c>
      <c r="B4146" s="2" t="inlineStr">
        <is>
          <t>BLOODY</t>
        </is>
      </c>
      <c r="C4146" s="2" t="inlineStr">
        <is>
          <t>MN272U</t>
        </is>
      </c>
      <c r="D4146" s="2" t="inlineStr">
        <is>
          <t>Монитор Bloody 27" MN272U черный IPS LED 1ms 16:9 HDMI M/M матовая HAS 400cd 178гр/178гр 3840x2160 160Hz G-Sync FreeSync DP 4K 6.5кг</t>
        </is>
      </c>
      <c r="E4146" s="2" t="inlineStr">
        <is>
          <t>+++ </t>
        </is>
      </c>
      <c r="F4146" s="2" t="inlineStr">
        <is>
          <t>+++ </t>
        </is>
      </c>
      <c r="H4146" s="2">
        <v>585</v>
      </c>
      <c r="I4146" s="2" t="inlineStr">
        <is>
          <t>$</t>
        </is>
      </c>
      <c r="J4146" s="2">
        <f>HYPERLINK("https://app.astro.lead-studio.pro/product/4f34c0d9-5044-4b34-83a1-5525f9fc4494")</f>
      </c>
    </row>
    <row r="4147" spans="1:10" customHeight="0">
      <c r="A4147" s="2" t="inlineStr">
        <is>
          <t>Мониторы</t>
        </is>
      </c>
      <c r="B4147" s="2" t="inlineStr">
        <is>
          <t>BLOODY</t>
        </is>
      </c>
      <c r="C4147" s="2" t="inlineStr">
        <is>
          <t>MN340W</t>
        </is>
      </c>
      <c r="D4147" s="2" t="inlineStr">
        <is>
          <t>Монитор Bloody 34" MN340W черный VA LED 1ms 21:9 HDMI M/M матовая HAS Piv 300cd 178гр/178гр 3440x1440 180Hz FreeSync DP UW USB 5.7кг</t>
        </is>
      </c>
      <c r="E4147" s="2" t="inlineStr">
        <is>
          <t>+++ </t>
        </is>
      </c>
      <c r="F4147" s="2" t="inlineStr">
        <is>
          <t>+++ </t>
        </is>
      </c>
      <c r="H4147" s="2">
        <v>381</v>
      </c>
      <c r="I4147" s="2" t="inlineStr">
        <is>
          <t>$</t>
        </is>
      </c>
      <c r="J4147" s="2">
        <f>HYPERLINK("https://app.astro.lead-studio.pro/product/e0876b0f-5ce3-42fd-be48-b98d275c3182")</f>
      </c>
    </row>
    <row r="4148" spans="1:10" customHeight="0">
      <c r="A4148" s="2" t="inlineStr">
        <is>
          <t>Мониторы</t>
        </is>
      </c>
      <c r="B4148" s="2" t="inlineStr">
        <is>
          <t>DELL</t>
        </is>
      </c>
      <c r="C4148" s="2" t="inlineStr">
        <is>
          <t>210-BDEG</t>
        </is>
      </c>
      <c r="D4148" s="2" t="inlineStr">
        <is>
          <t>Монитор Dell 23.8" P2423D черный IPS LED 5ms 16:9 HDMI матовая HAS Piv 1000:1 300cd 178гр/178гр 2560x1440 60Hz DP Quad 2K (1440p) USB 5.45кг</t>
        </is>
      </c>
      <c r="E4148" s="2" t="inlineStr">
        <is>
          <t>+ </t>
        </is>
      </c>
      <c r="F4148" s="2" t="inlineStr">
        <is>
          <t>+ </t>
        </is>
      </c>
      <c r="H4148" s="2">
        <v>327</v>
      </c>
      <c r="I4148" s="2" t="inlineStr">
        <is>
          <t>$</t>
        </is>
      </c>
      <c r="J4148" s="2">
        <f>HYPERLINK("https://app.astro.lead-studio.pro/product/a67553af-49e0-4367-9b00-f19579ca5027")</f>
      </c>
    </row>
    <row r="4149" spans="1:10" customHeight="0">
      <c r="A4149" s="2" t="inlineStr">
        <is>
          <t>Мониторы</t>
        </is>
      </c>
      <c r="B4149" s="2" t="inlineStr">
        <is>
          <t>DELL</t>
        </is>
      </c>
      <c r="C4149" s="2" t="inlineStr">
        <is>
          <t>P2425HE</t>
        </is>
      </c>
      <c r="D4149" s="2" t="inlineStr">
        <is>
          <t>Монитор Dell 23.8" P2425HE черный IPS LED 16:9 HDMI матовая HAS Piv 1500:1 250cd 178гр/178гр 1920x1080 100Hz DP FHD USB</t>
        </is>
      </c>
      <c r="E4149" s="2" t="inlineStr">
        <is>
          <t>++ </t>
        </is>
      </c>
      <c r="F4149" s="2" t="inlineStr">
        <is>
          <t>++ </t>
        </is>
      </c>
      <c r="H4149" s="2">
        <v>323</v>
      </c>
      <c r="I4149" s="2" t="inlineStr">
        <is>
          <t>$</t>
        </is>
      </c>
      <c r="J4149" s="2">
        <f>HYPERLINK("https://app.astro.lead-studio.pro/product/e9afe874-76f5-4f36-a471-2944e2d0c384")</f>
      </c>
    </row>
    <row r="4150" spans="1:10" customHeight="0">
      <c r="A4150" s="2" t="inlineStr">
        <is>
          <t>Мониторы</t>
        </is>
      </c>
      <c r="B4150" s="2" t="inlineStr">
        <is>
          <t>DELL</t>
        </is>
      </c>
      <c r="C4150" s="2" t="inlineStr">
        <is>
          <t>2422-4994</t>
        </is>
      </c>
      <c r="D4150" s="2" t="inlineStr">
        <is>
          <t>Монитор Dell 23.8" U2422HE черный IPS LED 8ms 16:9 HDMI матовая HAS Piv 1000:1 250cd 178гр/178гр 1920x1080 60Hz DP FHD USB 3.96кг</t>
        </is>
      </c>
      <c r="E4150" s="2" t="inlineStr">
        <is>
          <t>+ </t>
        </is>
      </c>
      <c r="F4150" s="2" t="inlineStr">
        <is>
          <t>+ </t>
        </is>
      </c>
      <c r="H4150" s="2">
        <v>381</v>
      </c>
      <c r="I4150" s="2" t="inlineStr">
        <is>
          <t>$</t>
        </is>
      </c>
      <c r="J4150" s="2">
        <f>HYPERLINK("https://app.astro.lead-studio.pro/product/96693210-cb39-497d-b962-c8b6c5895557")</f>
      </c>
    </row>
    <row r="4151" spans="1:10" customHeight="0">
      <c r="A4151" s="2" t="inlineStr">
        <is>
          <t>Мониторы</t>
        </is>
      </c>
      <c r="B4151" s="2" t="inlineStr">
        <is>
          <t>DELL</t>
        </is>
      </c>
      <c r="C4151" s="2" t="inlineStr">
        <is>
          <t>2422-4970</t>
        </is>
      </c>
      <c r="D4151" s="2" t="inlineStr">
        <is>
          <t>Монитор Dell 23.8" UltraSharp U2422H черный IPS LED 5ms 16:9 HDMI матовая HAS Piv 250cd 178гр/178гр 1920x1080 60Hz DP FHD USB</t>
        </is>
      </c>
      <c r="E4151" s="2" t="inlineStr">
        <is>
          <t>+ </t>
        </is>
      </c>
      <c r="F4151" s="2" t="inlineStr">
        <is>
          <t>+ </t>
        </is>
      </c>
      <c r="H4151" s="2">
        <v>351</v>
      </c>
      <c r="I4151" s="2" t="inlineStr">
        <is>
          <t>$</t>
        </is>
      </c>
      <c r="J4151" s="2">
        <f>HYPERLINK("https://app.astro.lead-studio.pro/product/7e4d56d0-25e7-4513-8513-aaa5a468d5bb")</f>
      </c>
    </row>
    <row r="4152" spans="1:10" customHeight="0">
      <c r="A4152" s="2" t="inlineStr">
        <is>
          <t>Мониторы</t>
        </is>
      </c>
      <c r="B4152" s="2" t="inlineStr">
        <is>
          <t>DELL</t>
        </is>
      </c>
      <c r="C4152" s="2" t="inlineStr">
        <is>
          <t>P2424HT</t>
        </is>
      </c>
      <c r="D4152" s="2" t="inlineStr">
        <is>
          <t>Монитор Dell 24" P2424HT черный IPS LED 16:9 HDMI M/M матовая HAS Piv 300cd 178гр/178гр 1920x1080 60Hz DP FHD USB Touch</t>
        </is>
      </c>
      <c r="E4152" s="2" t="inlineStr">
        <is>
          <t>++ </t>
        </is>
      </c>
      <c r="F4152" s="2" t="inlineStr">
        <is>
          <t>++ </t>
        </is>
      </c>
      <c r="H4152" s="2">
        <v>528</v>
      </c>
      <c r="I4152" s="2" t="inlineStr">
        <is>
          <t>$</t>
        </is>
      </c>
      <c r="J4152" s="2">
        <f>HYPERLINK("https://app.astro.lead-studio.pro/product/adade60a-ca05-4911-b41b-ef09fbce8bb5")</f>
      </c>
    </row>
    <row r="4153" spans="1:10" customHeight="0">
      <c r="A4153" s="2" t="inlineStr">
        <is>
          <t>Мониторы</t>
        </is>
      </c>
      <c r="B4153" s="2" t="inlineStr">
        <is>
          <t>DELL</t>
        </is>
      </c>
      <c r="C4153" s="2" t="inlineStr">
        <is>
          <t>P2425</t>
        </is>
      </c>
      <c r="D4153" s="2" t="inlineStr">
        <is>
          <t>Монитор Dell 24" P2425 черный IPS LED 16:10 HDMI матовая HAS Piv 300cd 178гр/178гр 1920x1200 100Hz VGA DP WU USB 3.51кг</t>
        </is>
      </c>
      <c r="E4153" s="2" t="inlineStr">
        <is>
          <t>+++ </t>
        </is>
      </c>
      <c r="F4153" s="2" t="inlineStr">
        <is>
          <t>+++ </t>
        </is>
      </c>
      <c r="H4153" s="2">
        <v>330</v>
      </c>
      <c r="I4153" s="2" t="inlineStr">
        <is>
          <t>$</t>
        </is>
      </c>
      <c r="J4153" s="2">
        <f>HYPERLINK("https://app.astro.lead-studio.pro/product/be6676dd-4a6e-4f76-963c-a4a7c1365c82")</f>
      </c>
    </row>
    <row r="4154" spans="1:10" customHeight="0">
      <c r="A4154" s="2" t="inlineStr">
        <is>
          <t>Мониторы</t>
        </is>
      </c>
      <c r="B4154" s="2" t="inlineStr">
        <is>
          <t>DELL</t>
        </is>
      </c>
      <c r="C4154" s="2" t="inlineStr">
        <is>
          <t>P2425E</t>
        </is>
      </c>
      <c r="D4154" s="2" t="inlineStr">
        <is>
          <t>Монитор Dell 24.07" P2425E черный IPS LED 16:10 HDMI матовая HAS Piv 300cd 178гр/178гр 1920x1200 100Hz DP WU USB</t>
        </is>
      </c>
      <c r="E4154" s="2" t="inlineStr">
        <is>
          <t>+ </t>
        </is>
      </c>
      <c r="F4154" s="2" t="inlineStr">
        <is>
          <t>+ </t>
        </is>
      </c>
      <c r="H4154" s="2">
        <v>426</v>
      </c>
      <c r="I4154" s="2" t="inlineStr">
        <is>
          <t>$</t>
        </is>
      </c>
      <c r="J4154" s="2">
        <f>HYPERLINK("https://app.astro.lead-studio.pro/product/e2667a29-a5be-46a9-b347-970bbab9bca0")</f>
      </c>
    </row>
    <row r="4155" spans="1:10" customHeight="0">
      <c r="A4155" s="2" t="inlineStr">
        <is>
          <t>Мониторы</t>
        </is>
      </c>
      <c r="B4155" s="2" t="inlineStr">
        <is>
          <t>DELL</t>
        </is>
      </c>
      <c r="C4155" s="2" t="inlineStr">
        <is>
          <t>2723-7937</t>
        </is>
      </c>
      <c r="D4155" s="2" t="inlineStr">
        <is>
          <t>Монитор Dell 27" C2723H черный IPS LED 5ms 16:9 HDMI M/M Cam матовая HAS Piv 300cd 178гр/178гр 1920x1080 60Hz DP FHD USB 7.24кг</t>
        </is>
      </c>
      <c r="E4155" s="2" t="inlineStr">
        <is>
          <t>+ </t>
        </is>
      </c>
      <c r="F4155" s="2" t="inlineStr">
        <is>
          <t>+ </t>
        </is>
      </c>
      <c r="H4155" s="2">
        <v>335</v>
      </c>
      <c r="I4155" s="2" t="inlineStr">
        <is>
          <t>$</t>
        </is>
      </c>
      <c r="J4155" s="2">
        <f>HYPERLINK("https://app.astro.lead-studio.pro/product/87f8fb09-40c9-4d0c-85e5-3c7ba1d49d5d")</f>
      </c>
    </row>
    <row r="4156" spans="1:10" customHeight="0">
      <c r="A4156" s="2" t="inlineStr">
        <is>
          <t>Мониторы</t>
        </is>
      </c>
      <c r="B4156" s="2" t="inlineStr">
        <is>
          <t>DELL</t>
        </is>
      </c>
      <c r="C4156" s="2" t="inlineStr">
        <is>
          <t>210-BDDX</t>
        </is>
      </c>
      <c r="D4156" s="2" t="inlineStr">
        <is>
          <t>Монитор Dell 27" P2723D черный IPS LED 5ms 16:9 HDMI матовая HAS Piv 1000:1 350cd 178гр/178гр 2560x1440 60Hz DP Quad 2K (1440p) USB 6.76кг</t>
        </is>
      </c>
      <c r="E4156" s="2" t="inlineStr">
        <is>
          <t>+++ </t>
        </is>
      </c>
      <c r="F4156" s="2" t="inlineStr">
        <is>
          <t>+++ </t>
        </is>
      </c>
      <c r="H4156" s="2">
        <v>431</v>
      </c>
      <c r="I4156" s="2" t="inlineStr">
        <is>
          <t>$</t>
        </is>
      </c>
      <c r="J4156" s="2">
        <f>HYPERLINK("https://app.astro.lead-studio.pro/product/c39de45e-54d6-4bb0-8706-08d523db7adc")</f>
      </c>
    </row>
    <row r="4157" spans="1:10" customHeight="0">
      <c r="A4157" s="2" t="inlineStr">
        <is>
          <t>Мониторы</t>
        </is>
      </c>
      <c r="B4157" s="2" t="inlineStr">
        <is>
          <t>DELL</t>
        </is>
      </c>
      <c r="C4157" s="2" t="inlineStr">
        <is>
          <t>P2724DEB</t>
        </is>
      </c>
      <c r="D4157" s="2" t="inlineStr">
        <is>
          <t>Монитор Dell 27" P2724DEB черный IPS LED 16:9 HDMI M/M Cam матовая HAS Piv 350cd 178гр/178гр 2560x1440 60Hz DP Quad 2K (1440p) USB 8.27кг</t>
        </is>
      </c>
      <c r="E4157" s="2" t="inlineStr">
        <is>
          <t>+ </t>
        </is>
      </c>
      <c r="F4157" s="2" t="inlineStr">
        <is>
          <t>+ </t>
        </is>
      </c>
      <c r="H4157" s="2">
        <v>578</v>
      </c>
      <c r="I4157" s="2" t="inlineStr">
        <is>
          <t>$</t>
        </is>
      </c>
      <c r="J4157" s="2">
        <f>HYPERLINK("https://app.astro.lead-studio.pro/product/e90d149a-df64-4345-8a51-4ced1970b7fd")</f>
      </c>
    </row>
    <row r="4158" spans="1:10" customHeight="0">
      <c r="A4158" s="2" t="inlineStr">
        <is>
          <t>Мониторы</t>
        </is>
      </c>
      <c r="B4158" s="2" t="inlineStr">
        <is>
          <t>DELL</t>
        </is>
      </c>
      <c r="C4158" s="2" t="inlineStr">
        <is>
          <t>P3424WE</t>
        </is>
      </c>
      <c r="D4158" s="2" t="inlineStr">
        <is>
          <t>Монитор Dell 34.14" P3424WE серебристый/черный IPS LED 21:9 HDMI матовая HAS Piv 300cd 178гр/178гр 3440x1440 60Hz DP WQ USB 10.17кг</t>
        </is>
      </c>
      <c r="E4158" s="2" t="inlineStr">
        <is>
          <t>+ </t>
        </is>
      </c>
      <c r="F4158" s="2" t="inlineStr">
        <is>
          <t>+ </t>
        </is>
      </c>
      <c r="H4158" s="2">
        <v>844</v>
      </c>
      <c r="I4158" s="2" t="inlineStr">
        <is>
          <t>$</t>
        </is>
      </c>
      <c r="J4158" s="2">
        <f>HYPERLINK("https://app.astro.lead-studio.pro/product/8dd1f306-9a8a-4944-8958-38cc6fe5ed91")</f>
      </c>
    </row>
    <row r="4159" spans="1:10" customHeight="0">
      <c r="A4159" s="2" t="inlineStr">
        <is>
          <t>Мониторы</t>
        </is>
      </c>
      <c r="B4159" s="2" t="inlineStr">
        <is>
          <t>DELL</t>
        </is>
      </c>
      <c r="C4159" s="2" t="inlineStr">
        <is>
          <t>P3424WEB</t>
        </is>
      </c>
      <c r="D4159" s="2" t="inlineStr">
        <is>
          <t>Монитор Dell 34.14" P3424WEB черный IPS LED 21:9 HDMI M/M Cam матовая HAS Piv 1000:1 300cd 178гр/178гр 3440x1440 60Hz DP WQ USB 10.83кг</t>
        </is>
      </c>
      <c r="E4159" s="2" t="inlineStr">
        <is>
          <t>+ </t>
        </is>
      </c>
      <c r="F4159" s="2" t="inlineStr">
        <is>
          <t>+ </t>
        </is>
      </c>
      <c r="H4159" s="2">
        <v>1130</v>
      </c>
      <c r="I4159" s="2" t="inlineStr">
        <is>
          <t>$</t>
        </is>
      </c>
      <c r="J4159" s="2">
        <f>HYPERLINK("https://app.astro.lead-studio.pro/product/7a9b5b45-54cc-46e9-a403-4babf6f867d1")</f>
      </c>
    </row>
    <row r="4160" spans="1:10" customHeight="0">
      <c r="A4160" s="2" t="inlineStr">
        <is>
          <t>Мониторы</t>
        </is>
      </c>
      <c r="B4160" s="2" t="inlineStr">
        <is>
          <t>DELL</t>
        </is>
      </c>
      <c r="C4160" s="2" t="inlineStr">
        <is>
          <t>U4323QE</t>
        </is>
      </c>
      <c r="D4160" s="2" t="inlineStr">
        <is>
          <t>Монитор Dell 43" UltraSharp U4323QE черный IPS LED 16:9 HDMI M/M матовая HAS Piv 1000:1 350cd 178гр/178гр 3840x2160 60Hz DP 4K USB 18.5кг</t>
        </is>
      </c>
      <c r="E4160" s="2" t="inlineStr">
        <is>
          <t>+ </t>
        </is>
      </c>
      <c r="F4160" s="2" t="inlineStr">
        <is>
          <t>+ </t>
        </is>
      </c>
      <c r="H4160" s="2">
        <v>1513</v>
      </c>
      <c r="I4160" s="2" t="inlineStr">
        <is>
          <t>$</t>
        </is>
      </c>
      <c r="J4160" s="2">
        <f>HYPERLINK("https://app.astro.lead-studio.pro/product/474fd439-1db7-42b9-be76-9045a1a833b4")</f>
      </c>
    </row>
    <row r="4161" spans="1:10" customHeight="0">
      <c r="A4161" s="2" t="inlineStr">
        <is>
          <t>Мониторы</t>
        </is>
      </c>
      <c r="B4161" s="2" t="inlineStr">
        <is>
          <t>DELL</t>
        </is>
      </c>
      <c r="C4161" s="2" t="inlineStr">
        <is>
          <t>210-BGTX</t>
        </is>
      </c>
      <c r="D4161" s="2" t="inlineStr">
        <is>
          <t>Монитор Dell 49" UltraSharp U4924DW черный IPS LED 32:9 HDMI M/M матовая HAS Piv 350cd 178гр/178гр 5120x1440 60Hz DP UHD USB 16.3кг</t>
        </is>
      </c>
      <c r="E4161" s="2" t="inlineStr">
        <is>
          <t>+ </t>
        </is>
      </c>
      <c r="F4161" s="2" t="inlineStr">
        <is>
          <t>+ </t>
        </is>
      </c>
      <c r="H4161" s="2">
        <v>1977</v>
      </c>
      <c r="I4161" s="2" t="inlineStr">
        <is>
          <t>$</t>
        </is>
      </c>
      <c r="J4161" s="2">
        <f>HYPERLINK("https://app.astro.lead-studio.pro/product/92520bf6-3b22-4163-b276-0b67457332cf")</f>
      </c>
    </row>
    <row r="4162" spans="1:10" customHeight="0">
      <c r="A4162" s="2" t="inlineStr">
        <is>
          <t>Мониторы</t>
        </is>
      </c>
      <c r="B4162" s="2" t="inlineStr">
        <is>
          <t>DELTA COMPUTERS</t>
        </is>
      </c>
      <c r="C4162" s="2" t="inlineStr">
        <is>
          <t>ОМ238I.FHD.AS.01.P2N</t>
        </is>
      </c>
      <c r="D4162" s="2" t="inlineStr">
        <is>
          <t>Монитор Delta Computers 23.8" Сова OM238I черный IPS 5ms 16:9 HDMI M/M матовая HAS Piv 250cd 178гр/178гр 1920x1080 75Hz VGA DP FHD 3.95кг (RUS)</t>
        </is>
      </c>
      <c r="E4162" s="2" t="inlineStr">
        <is>
          <t>+ </t>
        </is>
      </c>
      <c r="F4162" s="2" t="inlineStr">
        <is>
          <t>+ </t>
        </is>
      </c>
      <c r="H4162" s="2">
        <v>365</v>
      </c>
      <c r="I4162" s="2" t="inlineStr">
        <is>
          <t>$</t>
        </is>
      </c>
      <c r="J4162" s="2">
        <f>HYPERLINK("https://app.astro.lead-studio.pro/product/40c2d63a-5a02-4e67-940f-34b09ec4e86e")</f>
      </c>
    </row>
    <row r="4163" spans="1:10" customHeight="0">
      <c r="A4163" s="2" t="inlineStr">
        <is>
          <t>Мониторы</t>
        </is>
      </c>
      <c r="B4163" s="2" t="inlineStr">
        <is>
          <t>DELTA COMPUTERS</t>
        </is>
      </c>
      <c r="C4163" s="2" t="inlineStr">
        <is>
          <t>ОМ270I.QHD.AS.03.P3</t>
        </is>
      </c>
      <c r="D4163" s="2" t="inlineStr">
        <is>
          <t>Монитор Delta Computers 27" Сова OM270I черный IPS 5ms 16:9 HDMI M/M матовая HAS Piv 1000:1 300cd 178гр/178гр 2560x1440 75Hz FreeSync DP 2K 5.7кг (RUS)</t>
        </is>
      </c>
      <c r="E4163" s="2" t="inlineStr">
        <is>
          <t>+ </t>
        </is>
      </c>
      <c r="F4163" s="2" t="inlineStr">
        <is>
          <t>+ </t>
        </is>
      </c>
      <c r="H4163" s="2">
        <v>319</v>
      </c>
      <c r="I4163" s="2" t="inlineStr">
        <is>
          <t>$</t>
        </is>
      </c>
      <c r="J4163" s="2">
        <f>HYPERLINK("https://app.astro.lead-studio.pro/product/9b044338-2aad-4d45-97a2-165815b38432")</f>
      </c>
    </row>
    <row r="4164" spans="1:10" customHeight="0">
      <c r="A4164" s="2" t="inlineStr">
        <is>
          <t>Мониторы</t>
        </is>
      </c>
      <c r="B4164" s="2" t="inlineStr">
        <is>
          <t>DIGMA</t>
        </is>
      </c>
      <c r="C4164" s="2" t="inlineStr">
        <is>
          <t>DM27SB07</t>
        </is>
      </c>
      <c r="D4164" s="2" t="inlineStr">
        <is>
          <t>Монитор Digma 27" Progress 27P505U черный IPS LED 16:9 HDMI M/M матовая HAS Piv 350cd 178гр/178гр 3840x2160 60Hz FreeSync DP 4K 6.05кг</t>
        </is>
      </c>
      <c r="E4164" s="2" t="inlineStr">
        <is>
          <t>+++ </t>
        </is>
      </c>
      <c r="F4164" s="2" t="inlineStr">
        <is>
          <t>+++ </t>
        </is>
      </c>
      <c r="H4164" s="2">
        <v>328</v>
      </c>
      <c r="I4164" s="2" t="inlineStr">
        <is>
          <t>$</t>
        </is>
      </c>
      <c r="J4164" s="2">
        <f>HYPERLINK("https://app.astro.lead-studio.pro/product/5a8f6061-83c1-455b-97f0-253cbfd1a15f")</f>
      </c>
    </row>
    <row r="4165" spans="1:10" customHeight="0">
      <c r="A4165" s="2" t="inlineStr">
        <is>
          <t>Мониторы</t>
        </is>
      </c>
      <c r="B4165" s="2" t="inlineStr">
        <is>
          <t>DIGMA</t>
        </is>
      </c>
      <c r="C4165" s="2" t="inlineStr">
        <is>
          <t>DM32VB01</t>
        </is>
      </c>
      <c r="D4165" s="2" t="inlineStr">
        <is>
          <t>Монитор Digma 31.5" Progress 32A501U черный VA 4ms 16:9 HDMI матовая 300cd 178гр/178гр 3840x2160 60Hz G-Sync DP 4K 6кг</t>
        </is>
      </c>
      <c r="E4165" s="2" t="inlineStr">
        <is>
          <t>+++ </t>
        </is>
      </c>
      <c r="F4165" s="2" t="inlineStr">
        <is>
          <t>+++ </t>
        </is>
      </c>
      <c r="H4165" s="2">
        <v>320</v>
      </c>
      <c r="I4165" s="2" t="inlineStr">
        <is>
          <t>$</t>
        </is>
      </c>
      <c r="J4165" s="2">
        <f>HYPERLINK("https://app.astro.lead-studio.pro/product/811364c7-088a-4cdf-bf0f-a86e5dc9dd5f")</f>
      </c>
    </row>
    <row r="4166" spans="1:10" customHeight="0">
      <c r="A4166" s="2" t="inlineStr">
        <is>
          <t>Мониторы</t>
        </is>
      </c>
      <c r="B4166" s="2" t="inlineStr">
        <is>
          <t>DIGMA PRO</t>
        </is>
      </c>
      <c r="C4166" s="2" t="inlineStr">
        <is>
          <t>DM27SP07</t>
        </is>
      </c>
      <c r="D4166" s="2" t="inlineStr">
        <is>
          <t>Монитор Digma Pro 27" Action M черный IPS LED 1ms 16:9 HDMI M/M матовая HAS 450cd 178гр/178гр 3840x2160 160Hz DP 4K USB 6кг</t>
        </is>
      </c>
      <c r="E4166" s="2" t="inlineStr">
        <is>
          <t>+++ </t>
        </is>
      </c>
      <c r="F4166" s="2" t="inlineStr">
        <is>
          <t>+++ </t>
        </is>
      </c>
      <c r="H4166" s="2">
        <v>599</v>
      </c>
      <c r="I4166" s="2" t="inlineStr">
        <is>
          <t>$</t>
        </is>
      </c>
      <c r="J4166" s="2">
        <f>HYPERLINK("https://app.astro.lead-studio.pro/product/0cbe797f-d56d-4171-9d8d-49cd682d5fc6")</f>
      </c>
    </row>
    <row r="4167" spans="1:10" customHeight="0">
      <c r="A4167" s="2" t="inlineStr">
        <is>
          <t>Мониторы</t>
        </is>
      </c>
      <c r="B4167" s="2" t="inlineStr">
        <is>
          <t>DIGMA PRO</t>
        </is>
      </c>
      <c r="C4167" s="2" t="inlineStr">
        <is>
          <t>DM27SP06</t>
        </is>
      </c>
      <c r="D4167" s="2" t="inlineStr">
        <is>
          <t>Монитор Digma Pro 27" Action S черный IPS LED 1ms 16:9 HDMI матовая 450cd 178гр/178гр 2560x1440 180Hz DP 2K 5.7кг</t>
        </is>
      </c>
      <c r="E4167" s="2" t="inlineStr">
        <is>
          <t>+++ </t>
        </is>
      </c>
      <c r="F4167" s="2" t="inlineStr">
        <is>
          <t>+++ </t>
        </is>
      </c>
      <c r="H4167" s="2">
        <v>386</v>
      </c>
      <c r="I4167" s="2" t="inlineStr">
        <is>
          <t>$</t>
        </is>
      </c>
      <c r="J4167" s="2">
        <f>HYPERLINK("https://app.astro.lead-studio.pro/product/531f3857-be0c-4114-9b2f-2056504cc578")</f>
      </c>
    </row>
    <row r="4168" spans="1:10" customHeight="0">
      <c r="A4168" s="2" t="inlineStr">
        <is>
          <t>Мониторы</t>
        </is>
      </c>
      <c r="B4168" s="2" t="inlineStr">
        <is>
          <t>DIGMA PRO</t>
        </is>
      </c>
      <c r="C4168" s="2" t="inlineStr">
        <is>
          <t>DM27SP03</t>
        </is>
      </c>
      <c r="D4168" s="2" t="inlineStr">
        <is>
          <t>Монитор Digma Pro 27" Art L зеленый IPS LED 5ms 16:9 HDMI M/M матовая 300cd 178гр/178гр 2560x1440 165Hz FreeSync DP 2K USB 5.7кг</t>
        </is>
      </c>
      <c r="E4168" s="2" t="inlineStr">
        <is>
          <t>+++ </t>
        </is>
      </c>
      <c r="F4168" s="2" t="inlineStr">
        <is>
          <t>+++ </t>
        </is>
      </c>
      <c r="H4168" s="2">
        <v>363</v>
      </c>
      <c r="I4168" s="2" t="inlineStr">
        <is>
          <t>$</t>
        </is>
      </c>
      <c r="J4168" s="2">
        <f>HYPERLINK("https://app.astro.lead-studio.pro/product/da84ddce-898f-4d07-9199-da1a26862b91")</f>
      </c>
    </row>
    <row r="4169" spans="1:10" customHeight="0">
      <c r="A4169" s="2" t="inlineStr">
        <is>
          <t>Мониторы</t>
        </is>
      </c>
      <c r="B4169" s="2" t="inlineStr">
        <is>
          <t>DIGMA PRO</t>
        </is>
      </c>
      <c r="C4169" s="2" t="inlineStr">
        <is>
          <t>DM27SP03</t>
        </is>
      </c>
      <c r="D4169" s="2" t="inlineStr">
        <is>
          <t>Монитор Digma Pro 27" Art L розовое золото IPS LED 5ms 16:9 HDMI M/M матовая 300cd 178гр/178гр 2560x1440 165Hz FreeSync DP 2K USB 5.7кг</t>
        </is>
      </c>
      <c r="E4169" s="2" t="inlineStr">
        <is>
          <t>+++ </t>
        </is>
      </c>
      <c r="F4169" s="2" t="inlineStr">
        <is>
          <t>+++ </t>
        </is>
      </c>
      <c r="H4169" s="2">
        <v>355</v>
      </c>
      <c r="I4169" s="2" t="inlineStr">
        <is>
          <t>$</t>
        </is>
      </c>
      <c r="J4169" s="2">
        <f>HYPERLINK("https://app.astro.lead-studio.pro/product/da84ddce-898f-4d07-9199-da1a26862b91")</f>
      </c>
    </row>
    <row r="4170" spans="1:10" customHeight="0">
      <c r="A4170" s="2" t="inlineStr">
        <is>
          <t>Мониторы</t>
        </is>
      </c>
      <c r="B4170" s="2" t="inlineStr">
        <is>
          <t>DIGMA PRO</t>
        </is>
      </c>
      <c r="C4170" s="2" t="inlineStr">
        <is>
          <t>DM27SP03</t>
        </is>
      </c>
      <c r="D4170" s="2" t="inlineStr">
        <is>
          <t>Монитор Digma Pro 27" Art L синий IPS LED 5ms 16:9 HDMI M/M матовая 300cd 178гр/178гр 2560x1440 165Hz FreeSync DP 2K USB 5.7кг</t>
        </is>
      </c>
      <c r="E4170" s="2" t="inlineStr">
        <is>
          <t>+++ </t>
        </is>
      </c>
      <c r="F4170" s="2" t="inlineStr">
        <is>
          <t>+++ </t>
        </is>
      </c>
      <c r="H4170" s="2">
        <v>355</v>
      </c>
      <c r="I4170" s="2" t="inlineStr">
        <is>
          <t>$</t>
        </is>
      </c>
      <c r="J4170" s="2">
        <f>HYPERLINK("https://app.astro.lead-studio.pro/product/da84ddce-898f-4d07-9199-da1a26862b91")</f>
      </c>
    </row>
    <row r="4171" spans="1:10" customHeight="0">
      <c r="A4171" s="2" t="inlineStr">
        <is>
          <t>Мониторы</t>
        </is>
      </c>
      <c r="B4171" s="2" t="inlineStr">
        <is>
          <t>DIGMA PRO</t>
        </is>
      </c>
      <c r="C4171" s="2" t="inlineStr">
        <is>
          <t>DM27SP02</t>
        </is>
      </c>
      <c r="D4171" s="2" t="inlineStr">
        <is>
          <t>Монитор Digma Pro 27" Art M серебристый IPS LED 5ms 16:9 HDMI M/M матовая 500cd 178гр/178гр 5120x2880 60Hz FreeSync DP 5K USB 5.7кг</t>
        </is>
      </c>
      <c r="E4171" s="2" t="inlineStr">
        <is>
          <t>+++ </t>
        </is>
      </c>
      <c r="F4171" s="2" t="inlineStr">
        <is>
          <t>+++ </t>
        </is>
      </c>
      <c r="H4171" s="2">
        <v>751</v>
      </c>
      <c r="I4171" s="2" t="inlineStr">
        <is>
          <t>$</t>
        </is>
      </c>
      <c r="J4171" s="2">
        <f>HYPERLINK("https://app.astro.lead-studio.pro/product/1f484e33-9e04-4d3f-af53-33150ede0e88")</f>
      </c>
    </row>
    <row r="4172" spans="1:10" customHeight="0">
      <c r="A4172" s="2" t="inlineStr">
        <is>
          <t>Мониторы</t>
        </is>
      </c>
      <c r="B4172" s="2" t="inlineStr">
        <is>
          <t>DIGMA PRO</t>
        </is>
      </c>
      <c r="C4172" s="2" t="inlineStr">
        <is>
          <t>DM27SP01</t>
        </is>
      </c>
      <c r="D4172" s="2" t="inlineStr">
        <is>
          <t>Монитор Digma Pro 27" Art S серый IPS LED 5ms 16:9 HDMI M/M матовая 400cd 178гр/178гр 3840x2160 60Hz FreeSync DP 4K USB 5.7кг</t>
        </is>
      </c>
      <c r="E4172" s="2" t="inlineStr">
        <is>
          <t>+ </t>
        </is>
      </c>
      <c r="F4172" s="2" t="inlineStr">
        <is>
          <t>+ </t>
        </is>
      </c>
      <c r="H4172" s="2">
        <v>373</v>
      </c>
      <c r="I4172" s="2" t="inlineStr">
        <is>
          <t>$</t>
        </is>
      </c>
      <c r="J4172" s="2">
        <f>HYPERLINK("https://app.astro.lead-studio.pro/product/f4d1db16-9372-475e-bb3f-2a20d64d0142")</f>
      </c>
    </row>
    <row r="4173" spans="1:10" customHeight="0">
      <c r="A4173" s="2" t="inlineStr">
        <is>
          <t>Мониторы</t>
        </is>
      </c>
      <c r="B4173" s="2" t="inlineStr">
        <is>
          <t>DIGMA PRO</t>
        </is>
      </c>
      <c r="C4173" s="2" t="inlineStr">
        <is>
          <t>DM27SP05</t>
        </is>
      </c>
      <c r="D4173" s="2" t="inlineStr">
        <is>
          <t>Монитор Digma Pro 27" Vision S черный QD OLED LED 1ms 16:9 HDMI M/M глянцевая HAS 1000cd 178гр/178гр 2560x1440 360Hz DP 2K USB 5.7кг</t>
        </is>
      </c>
      <c r="E4173" s="2" t="inlineStr">
        <is>
          <t>++ </t>
        </is>
      </c>
      <c r="F4173" s="2" t="inlineStr">
        <is>
          <t>++ </t>
        </is>
      </c>
      <c r="H4173" s="2">
        <v>1153</v>
      </c>
      <c r="I4173" s="2" t="inlineStr">
        <is>
          <t>$</t>
        </is>
      </c>
      <c r="J4173" s="2">
        <f>HYPERLINK("https://app.astro.lead-studio.pro/product/fe0f47db-220c-42ca-8fbe-de3ed7e8e0b1")</f>
      </c>
    </row>
    <row r="4174" spans="1:10" customHeight="0">
      <c r="A4174" s="2" t="inlineStr">
        <is>
          <t>Мониторы</t>
        </is>
      </c>
      <c r="B4174" s="2" t="inlineStr">
        <is>
          <t>DIGMA PRO</t>
        </is>
      </c>
      <c r="C4174" s="2" t="inlineStr">
        <is>
          <t>DM27SP04</t>
        </is>
      </c>
      <c r="D4174" s="2" t="inlineStr">
        <is>
          <t>Монитор Digma Pro 31.5" Vision L серебристый QD OLED LED 1ms 16:9 HDMI глянцевая HAS Piv 1000cd 178гр/178гр 3840x2160 240Hz G-Sync FreeSync DP 4K USB 5.7кг</t>
        </is>
      </c>
      <c r="E4174" s="2" t="inlineStr">
        <is>
          <t>++ </t>
        </is>
      </c>
      <c r="F4174" s="2" t="inlineStr">
        <is>
          <t>++ </t>
        </is>
      </c>
      <c r="H4174" s="2">
        <v>1459</v>
      </c>
      <c r="I4174" s="2" t="inlineStr">
        <is>
          <t>$</t>
        </is>
      </c>
      <c r="J4174" s="2">
        <f>HYPERLINK("https://app.astro.lead-studio.pro/product/b557984d-2bcd-418b-b588-93299b7d6e14")</f>
      </c>
    </row>
    <row r="4175" spans="1:10" customHeight="0">
      <c r="A4175" s="2" t="inlineStr">
        <is>
          <t>Мониторы</t>
        </is>
      </c>
      <c r="B4175" s="2" t="inlineStr">
        <is>
          <t>GIGABYTE</t>
        </is>
      </c>
      <c r="C4175" s="2" t="inlineStr">
        <is>
          <t>20VM0-GS27QXABU-1EUR</t>
        </is>
      </c>
      <c r="D4175" s="2" t="inlineStr">
        <is>
          <t>Монитор Gigabyte 27" GS27QXA черный IPS LED 16:9 HDMI матовая 1000:1 350cd 178гр/178гр 2560x1440 240Hz FreeSync Premium DP 2K USB 5.11кг</t>
        </is>
      </c>
      <c r="E4175" s="2" t="inlineStr">
        <is>
          <t>+++ </t>
        </is>
      </c>
      <c r="F4175" s="2" t="inlineStr">
        <is>
          <t>+++ </t>
        </is>
      </c>
      <c r="H4175" s="2">
        <v>449</v>
      </c>
      <c r="I4175" s="2" t="inlineStr">
        <is>
          <t>$</t>
        </is>
      </c>
      <c r="J4175" s="2">
        <f>HYPERLINK("https://app.astro.lead-studio.pro/product/b5dfc4ea-7a4d-423d-b667-2d399b4f90fe")</f>
      </c>
    </row>
    <row r="4176" spans="1:10" customHeight="0">
      <c r="A4176" s="2" t="inlineStr">
        <is>
          <t>Мониторы</t>
        </is>
      </c>
      <c r="B4176" s="2" t="inlineStr">
        <is>
          <t>GIGABYTE</t>
        </is>
      </c>
      <c r="C4176" s="2" t="inlineStr">
        <is>
          <t>9DM27U-00-1ABEK</t>
        </is>
      </c>
      <c r="D4176" s="2" t="inlineStr">
        <is>
          <t>Монитор Gigabyte 27" M27U черный IPS LED 1ms 16:9 HDMI M/M матовая HAS 400cd 178гр/178гр 3840x2160 160Hz G-Sync FreeSync Premium Pro DP 4K USB 6.48кг</t>
        </is>
      </c>
      <c r="E4176" s="2" t="inlineStr">
        <is>
          <t>++ </t>
        </is>
      </c>
      <c r="F4176" s="2" t="inlineStr">
        <is>
          <t>++ </t>
        </is>
      </c>
      <c r="H4176" s="2">
        <v>654</v>
      </c>
      <c r="I4176" s="2" t="inlineStr">
        <is>
          <t>$</t>
        </is>
      </c>
      <c r="J4176" s="2">
        <f>HYPERLINK("https://app.astro.lead-studio.pro/product/44b06f83-7ec1-4b09-a15b-6bebe1bf506b")</f>
      </c>
    </row>
    <row r="4177" spans="1:10" customHeight="0">
      <c r="A4177" s="2" t="inlineStr">
        <is>
          <t>Мониторы</t>
        </is>
      </c>
      <c r="B4177" s="2" t="inlineStr">
        <is>
          <t>GIGABYTE</t>
        </is>
      </c>
      <c r="C4177" s="2" t="inlineStr">
        <is>
          <t>20VM0-M32UPBT-1EKR</t>
        </is>
      </c>
      <c r="D4177" s="2" t="inlineStr">
        <is>
          <t>Монитор Gigabyte 31.5" M32UP черный IPS LED 16:9 HDMI M/M HAS Piv 350cd 178гр/178гр 3840x2160 160Hz DP 4K USB 10.35кг</t>
        </is>
      </c>
      <c r="E4177" s="2" t="inlineStr">
        <is>
          <t>++ </t>
        </is>
      </c>
      <c r="F4177" s="2" t="inlineStr">
        <is>
          <t>++ </t>
        </is>
      </c>
      <c r="H4177" s="2">
        <v>797</v>
      </c>
      <c r="I4177" s="2" t="inlineStr">
        <is>
          <t>$</t>
        </is>
      </c>
      <c r="J4177" s="2">
        <f>HYPERLINK("https://app.astro.lead-studio.pro/product/5ce9ecee-e118-4e1f-b4f7-620c0200e968")</f>
      </c>
    </row>
    <row r="4178" spans="1:10" customHeight="0">
      <c r="A4178" s="2" t="inlineStr">
        <is>
          <t>Мониторы</t>
        </is>
      </c>
      <c r="B4178" s="2" t="inlineStr">
        <is>
          <t>GIGABYTE</t>
        </is>
      </c>
      <c r="C4178" s="2" t="inlineStr">
        <is>
          <t>20VM0-MO34WQ2BT-1EKR</t>
        </is>
      </c>
      <c r="D4178" s="2" t="inlineStr">
        <is>
          <t>Монитор Gigabyte 34" MO34WQC2 черный OLED LED 21:9 HDMI M/M матовая HAS Piv 250cd 178гр/178гр 3440x1440 240Hz DP WQ USB 9.86кг</t>
        </is>
      </c>
      <c r="E4178" s="2" t="inlineStr">
        <is>
          <t>+++ </t>
        </is>
      </c>
      <c r="F4178" s="2" t="inlineStr">
        <is>
          <t>+++ </t>
        </is>
      </c>
      <c r="H4178" s="2">
        <v>1173</v>
      </c>
      <c r="I4178" s="2" t="inlineStr">
        <is>
          <t>$</t>
        </is>
      </c>
      <c r="J4178" s="2">
        <f>HYPERLINK("https://app.astro.lead-studio.pro/product/d01f2c38-d741-4c01-b859-66ac2366bdd5")</f>
      </c>
    </row>
    <row r="4179" spans="1:10" customHeight="0">
      <c r="A4179" s="2" t="inlineStr">
        <is>
          <t>Мониторы</t>
        </is>
      </c>
      <c r="B4179" s="2" t="inlineStr">
        <is>
          <t>GMNG</t>
        </is>
      </c>
      <c r="C4179" s="2" t="inlineStr">
        <is>
          <t>GM27SG01</t>
        </is>
      </c>
      <c r="D4179" s="2" t="inlineStr">
        <is>
          <t>Монитор GMNG 27" Gaming GM-27F14 черный IPS LED 2ms 16:9 HDMI M/M матовая HAS Piv 400cd 178гр/178гр 2560x1440 240Hz G-Sync FreeSync DP Quad 2K (1440p) 6.55кг</t>
        </is>
      </c>
      <c r="E4179" s="2" t="inlineStr">
        <is>
          <t>+ </t>
        </is>
      </c>
      <c r="F4179" s="2" t="inlineStr">
        <is>
          <t>+ </t>
        </is>
      </c>
      <c r="H4179" s="2">
        <v>314</v>
      </c>
      <c r="I4179" s="2" t="inlineStr">
        <is>
          <t>$</t>
        </is>
      </c>
      <c r="J4179" s="2">
        <f>HYPERLINK("https://app.astro.lead-studio.pro/product/24de5d4f-9f2f-4768-b1ae-e5bc5f0c25a2")</f>
      </c>
    </row>
    <row r="4180" spans="1:10" customHeight="0">
      <c r="A4180" s="2" t="inlineStr">
        <is>
          <t>Мониторы</t>
        </is>
      </c>
      <c r="B4180" s="2" t="inlineStr">
        <is>
          <t>GMNG</t>
        </is>
      </c>
      <c r="C4180" s="2" t="inlineStr">
        <is>
          <t>GM27SG03</t>
        </is>
      </c>
      <c r="D4180" s="2" t="inlineStr">
        <is>
          <t>Монитор GMNG 27" Gaming GM-27F23 черный IPS LED 2ms 16:9 HDMI M/M матовая HAS Piv 400cd 178гр/178гр 3840x2160 160Hz G-Sync FreeSync DP Quad 4K (2160p) 6.63кг</t>
        </is>
      </c>
      <c r="E4180" s="2" t="inlineStr">
        <is>
          <t>+++ </t>
        </is>
      </c>
      <c r="F4180" s="2" t="inlineStr">
        <is>
          <t>+++ </t>
        </is>
      </c>
      <c r="H4180" s="2">
        <v>467</v>
      </c>
      <c r="I4180" s="2" t="inlineStr">
        <is>
          <t>$</t>
        </is>
      </c>
      <c r="J4180" s="2">
        <f>HYPERLINK("https://app.astro.lead-studio.pro/product/9946da69-f154-4124-8ca2-60d82c29b34f")</f>
      </c>
    </row>
    <row r="4181" spans="1:10" customHeight="0">
      <c r="A4181" s="2" t="inlineStr">
        <is>
          <t>Мониторы</t>
        </is>
      </c>
      <c r="B4181" s="2" t="inlineStr">
        <is>
          <t>GMNG</t>
        </is>
      </c>
      <c r="C4181" s="2" t="inlineStr">
        <is>
          <t>GM34VG01</t>
        </is>
      </c>
      <c r="D4181" s="2" t="inlineStr">
        <is>
          <t>Монитор GMNG 34" Gaming GM-34C11W черный VA LED 2ms 21:9 HDMI M/M матовая HAS Piv 4000:1 300cd 178гр/178гр 3440x1440 165Hz G-Sync FreeSync DP 2K 8.57кг</t>
        </is>
      </c>
      <c r="E4181" s="2" t="inlineStr">
        <is>
          <t>++ </t>
        </is>
      </c>
      <c r="F4181" s="2" t="inlineStr">
        <is>
          <t>++ </t>
        </is>
      </c>
      <c r="H4181" s="2">
        <v>358</v>
      </c>
      <c r="I4181" s="2" t="inlineStr">
        <is>
          <t>$</t>
        </is>
      </c>
      <c r="J4181" s="2">
        <f>HYPERLINK("https://app.astro.lead-studio.pro/product/4b5bf64a-8b05-497f-bdcd-899118a65851")</f>
      </c>
    </row>
    <row r="4182" spans="1:10" customHeight="0">
      <c r="A4182" s="2" t="inlineStr">
        <is>
          <t>Мониторы</t>
        </is>
      </c>
      <c r="B4182" s="2" t="inlineStr">
        <is>
          <t>HP</t>
        </is>
      </c>
      <c r="C4182" s="2" t="inlineStr">
        <is>
          <t>169L0AA</t>
        </is>
      </c>
      <c r="D4182" s="2" t="inlineStr">
        <is>
          <t>Монитор HP 23.8" E24mv G4 Conferencing черный IPS 16:9 HDMI M/M Cam HAS Piv 1000:1 250cd 178гр/178гр 1920x1080 60Hz VGA DP FHD USB 6.5кг</t>
        </is>
      </c>
      <c r="E4182" s="2" t="inlineStr">
        <is>
          <t>+ </t>
        </is>
      </c>
      <c r="F4182" s="2" t="inlineStr">
        <is>
          <t>+ </t>
        </is>
      </c>
      <c r="H4182" s="2">
        <v>325</v>
      </c>
      <c r="I4182" s="2" t="inlineStr">
        <is>
          <t>$</t>
        </is>
      </c>
      <c r="J4182" s="2">
        <f>HYPERLINK("https://app.astro.lead-studio.pro/product/6d8c7dd8-418d-4b76-a709-ec2cef344e8d")</f>
      </c>
    </row>
    <row r="4183" spans="1:10" customHeight="0">
      <c r="A4183" s="2" t="inlineStr">
        <is>
          <t>Мониторы</t>
        </is>
      </c>
      <c r="B4183" s="2" t="inlineStr">
        <is>
          <t>HUAWEI</t>
        </is>
      </c>
      <c r="C4183" s="2" t="inlineStr">
        <is>
          <t>53061124</t>
        </is>
      </c>
      <c r="D4183" s="2" t="inlineStr">
        <is>
          <t>Монитор Huawei 34" MateView GT ZQE-CAA черный VA LED 1ms 21:9 HDMI M/M матовая HAS 350cd 178гр/178гр 3440x1440 190Hz DP FHD USB</t>
        </is>
      </c>
      <c r="E4183" s="2" t="inlineStr">
        <is>
          <t>+ </t>
        </is>
      </c>
      <c r="F4183" s="2" t="inlineStr">
        <is>
          <t>+ </t>
        </is>
      </c>
      <c r="H4183" s="2">
        <v>556</v>
      </c>
      <c r="I4183" s="2" t="inlineStr">
        <is>
          <t>$</t>
        </is>
      </c>
      <c r="J4183" s="2">
        <f>HYPERLINK("https://app.astro.lead-studio.pro/product/775700f8-aba4-453c-bce2-cf30e5f2b68c")</f>
      </c>
    </row>
    <row r="4184" spans="1:10" customHeight="0">
      <c r="A4184" s="2" t="inlineStr">
        <is>
          <t>Мониторы</t>
        </is>
      </c>
      <c r="B4184" s="2" t="inlineStr">
        <is>
          <t>IIYAMA</t>
        </is>
      </c>
      <c r="C4184" s="2" t="inlineStr">
        <is>
          <t>T2238MSC-B1</t>
        </is>
      </c>
      <c r="D4184" s="2" t="inlineStr">
        <is>
          <t>Монитор Iiyama 21.5" ProLite T2238MSC-B1 черный IPS LED 16:9 HDMI M/M матовая 1000:1 600cd 178гр/178гр 1920x1080 60Hz DP FHD USB Touch 6.8кг</t>
        </is>
      </c>
      <c r="E4184" s="2" t="inlineStr">
        <is>
          <t>+ </t>
        </is>
      </c>
      <c r="F4184" s="2" t="inlineStr">
        <is>
          <t>+ </t>
        </is>
      </c>
      <c r="H4184" s="2">
        <v>501</v>
      </c>
      <c r="I4184" s="2" t="inlineStr">
        <is>
          <t>$</t>
        </is>
      </c>
      <c r="J4184" s="2">
        <f>HYPERLINK("https://app.astro.lead-studio.pro/product/89f08833-8916-4cc2-b916-9e1b258eef42")</f>
      </c>
    </row>
    <row r="4185" spans="1:10" customHeight="0">
      <c r="A4185" s="2" t="inlineStr">
        <is>
          <t>Мониторы</t>
        </is>
      </c>
      <c r="B4185" s="2" t="inlineStr">
        <is>
          <t>IIYAMA</t>
        </is>
      </c>
      <c r="C4185" s="2" t="inlineStr">
        <is>
          <t>T2252MSC-W2</t>
        </is>
      </c>
      <c r="D4185" s="2" t="inlineStr">
        <is>
          <t>Монитор Iiyama 21.5" ProLite T2252MSC-W2 белый IPS LED 5ms 16:9 HDMI M/M матовая 250cd 178гр/178гр 1920x1080 DP FHD USB Touch 4.5кг</t>
        </is>
      </c>
      <c r="E4185" s="2" t="inlineStr">
        <is>
          <t>+ </t>
        </is>
      </c>
      <c r="F4185" s="2" t="inlineStr">
        <is>
          <t>+ </t>
        </is>
      </c>
      <c r="H4185" s="2">
        <v>328</v>
      </c>
      <c r="I4185" s="2" t="inlineStr">
        <is>
          <t>$</t>
        </is>
      </c>
      <c r="J4185" s="2">
        <f>HYPERLINK("https://app.astro.lead-studio.pro/product/948d0ec8-7b8a-4eaa-9e84-db82e37647e4")</f>
      </c>
    </row>
    <row r="4186" spans="1:10" customHeight="0">
      <c r="A4186" s="2" t="inlineStr">
        <is>
          <t>Мониторы</t>
        </is>
      </c>
      <c r="B4186" s="2" t="inlineStr">
        <is>
          <t>IIYAMA</t>
        </is>
      </c>
      <c r="C4186" s="2" t="inlineStr">
        <is>
          <t>GB2770QSU-B6</t>
        </is>
      </c>
      <c r="D4186" s="2" t="inlineStr">
        <is>
          <t>Монитор Iiyama 27" G-Master GB2770QSU-B6 черный IPS LED 0.2ms 16:9 HDMI M/M матовая HAS Piv 400cd 178гр/178гр 2560x1440 180Hz FreeSync DP 2K USB 5.7кг</t>
        </is>
      </c>
      <c r="E4186" s="2" t="inlineStr">
        <is>
          <t>++ </t>
        </is>
      </c>
      <c r="F4186" s="2" t="inlineStr">
        <is>
          <t>++ </t>
        </is>
      </c>
      <c r="H4186" s="2">
        <v>367</v>
      </c>
      <c r="I4186" s="2" t="inlineStr">
        <is>
          <t>$</t>
        </is>
      </c>
      <c r="J4186" s="2">
        <f>HYPERLINK("https://app.astro.lead-studio.pro/product/6865bc41-7c97-4456-88c8-c038b2f11a5d")</f>
      </c>
    </row>
    <row r="4187" spans="1:10" customHeight="0">
      <c r="A4187" s="2" t="inlineStr">
        <is>
          <t>Мониторы</t>
        </is>
      </c>
      <c r="B4187" s="2" t="inlineStr">
        <is>
          <t>IIYAMA</t>
        </is>
      </c>
      <c r="C4187" s="2" t="inlineStr">
        <is>
          <t>GB2790QSU-B5</t>
        </is>
      </c>
      <c r="D4187" s="2" t="inlineStr">
        <is>
          <t>Монитор Iiyama 27" G-Master GB2790QSU-B5 черный IPS LED 16:9 HDMI M/M матовая HAS 400cd 178гр/178гр 2560x1440 240Hz DP USB 5.7кг</t>
        </is>
      </c>
      <c r="E4187" s="2" t="inlineStr">
        <is>
          <t>+ </t>
        </is>
      </c>
      <c r="F4187" s="2" t="inlineStr">
        <is>
          <t>+ </t>
        </is>
      </c>
      <c r="H4187" s="2">
        <v>560</v>
      </c>
      <c r="I4187" s="2" t="inlineStr">
        <is>
          <t>$</t>
        </is>
      </c>
      <c r="J4187" s="2">
        <f>HYPERLINK("https://app.astro.lead-studio.pro/product/b061217e-97b9-4e34-b344-0cd61cdaf31c")</f>
      </c>
    </row>
    <row r="4188" spans="1:10" customHeight="0">
      <c r="A4188" s="2" t="inlineStr">
        <is>
          <t>Мониторы</t>
        </is>
      </c>
      <c r="B4188" s="2" t="inlineStr">
        <is>
          <t>IIYAMA</t>
        </is>
      </c>
      <c r="C4188" s="2" t="inlineStr">
        <is>
          <t>T2755MSC-B1</t>
        </is>
      </c>
      <c r="D4188" s="2" t="inlineStr">
        <is>
          <t>Монитор Iiyama 27" ProLite T2755MSC-B1 черный IPS LED 16:9 HDMI M/M матовая 400cd 178гр/178гр 1920x1080 60Hz DP FHD USB Touch 5.8кг</t>
        </is>
      </c>
      <c r="E4188" s="2" t="inlineStr">
        <is>
          <t>++ </t>
        </is>
      </c>
      <c r="F4188" s="2" t="inlineStr">
        <is>
          <t>++ </t>
        </is>
      </c>
      <c r="H4188" s="2">
        <v>502</v>
      </c>
      <c r="I4188" s="2" t="inlineStr">
        <is>
          <t>$</t>
        </is>
      </c>
      <c r="J4188" s="2">
        <f>HYPERLINK("https://app.astro.lead-studio.pro/product/2b82eb1b-52f4-48b0-bd32-afbd2cb46ff8")</f>
      </c>
    </row>
    <row r="4189" spans="1:10" customHeight="0">
      <c r="A4189" s="2" t="inlineStr">
        <is>
          <t>Мониторы</t>
        </is>
      </c>
      <c r="B4189" s="2" t="inlineStr">
        <is>
          <t>IIYAMA</t>
        </is>
      </c>
      <c r="C4189" s="2" t="inlineStr">
        <is>
          <t>XUB2792UHSU-B6</t>
        </is>
      </c>
      <c r="D4189" s="2" t="inlineStr">
        <is>
          <t>Монитор Iiyama 27" ProLite XUB2792UHSU-B6 черный IPS LED 16:9 HDMI M/M матовая HAS Piv 1300:1 350cd 178гр/178гр 3840x2160 60Hz DP 4K USB 6.3кг</t>
        </is>
      </c>
      <c r="E4189" s="2" t="inlineStr">
        <is>
          <t>++ </t>
        </is>
      </c>
      <c r="F4189" s="2" t="inlineStr">
        <is>
          <t>++ </t>
        </is>
      </c>
      <c r="H4189" s="2">
        <v>424</v>
      </c>
      <c r="I4189" s="2" t="inlineStr">
        <is>
          <t>$</t>
        </is>
      </c>
      <c r="J4189" s="2">
        <f>HYPERLINK("https://app.astro.lead-studio.pro/product/36b2755b-cd90-4224-bf15-2be85ede41e0")</f>
      </c>
    </row>
    <row r="4190" spans="1:10" customHeight="0">
      <c r="A4190" s="2" t="inlineStr">
        <is>
          <t>Мониторы</t>
        </is>
      </c>
      <c r="B4190" s="2" t="inlineStr">
        <is>
          <t>IIYAMA</t>
        </is>
      </c>
      <c r="C4190" s="2" t="inlineStr">
        <is>
          <t>XUB2797QSN-W1</t>
        </is>
      </c>
      <c r="D4190" s="2" t="inlineStr">
        <is>
          <t>Монитор Iiyama 27" ProLite XUB2797QSN-W1 белый IPS LED 16:9 HDMI M/M матовая HAS Piv 1300:1 250cd 178гр/178гр 2560x1440 100Hz DP Quad HD 2K (1440p) USB 6.1кг</t>
        </is>
      </c>
      <c r="E4190" s="2" t="inlineStr">
        <is>
          <t>+ </t>
        </is>
      </c>
      <c r="F4190" s="2" t="inlineStr">
        <is>
          <t>+ </t>
        </is>
      </c>
      <c r="H4190" s="2">
        <v>346</v>
      </c>
      <c r="I4190" s="2" t="inlineStr">
        <is>
          <t>$</t>
        </is>
      </c>
      <c r="J4190" s="2">
        <f>HYPERLINK("https://app.astro.lead-studio.pro/product/9abd9cca-936c-416c-b06d-eeccbccdfa5c")</f>
      </c>
    </row>
    <row r="4191" spans="1:10" customHeight="0">
      <c r="A4191" s="2" t="inlineStr">
        <is>
          <t>Мониторы</t>
        </is>
      </c>
      <c r="B4191" s="2" t="inlineStr">
        <is>
          <t>IIYAMA</t>
        </is>
      </c>
      <c r="C4191" s="2" t="inlineStr">
        <is>
          <t>T2754MSC-B1AG</t>
        </is>
      </c>
      <c r="D4191" s="2" t="inlineStr">
        <is>
          <t>Монитор Iiyama 27" Touch T2754MSC-B1AG черный IPS LED 16:9 HDMI M/M HAS 300cd 178гр/178гр 1920x1080 60Hz VGA FHD USB Touch 6.6кг</t>
        </is>
      </c>
      <c r="E4191" s="2" t="inlineStr">
        <is>
          <t>++ </t>
        </is>
      </c>
      <c r="F4191" s="2" t="inlineStr">
        <is>
          <t>++ </t>
        </is>
      </c>
      <c r="H4191" s="2">
        <v>550</v>
      </c>
      <c r="I4191" s="2" t="inlineStr">
        <is>
          <t>$</t>
        </is>
      </c>
      <c r="J4191" s="2">
        <f>HYPERLINK("https://app.astro.lead-studio.pro/product/e1da7dc9-762d-4114-8ad1-67af1ac0b2ed")</f>
      </c>
    </row>
    <row r="4192" spans="1:10" customHeight="0">
      <c r="A4192" s="2" t="inlineStr">
        <is>
          <t>Мониторы</t>
        </is>
      </c>
      <c r="B4192" s="2" t="inlineStr">
        <is>
          <t>IIYAMA</t>
        </is>
      </c>
      <c r="C4192" s="2" t="inlineStr">
        <is>
          <t>XCB3494WQSN-B5</t>
        </is>
      </c>
      <c r="D4192" s="2" t="inlineStr">
        <is>
          <t>Монитор Iiyama 34" ProLite XCB3494WQSN-B5 черный VA LED 0.4ms 21:9 HDMI M/M матовая HAS 300cd 178гр/178гр 3440x1440 120Hz DP 2K USB 9.4кг</t>
        </is>
      </c>
      <c r="E4192" s="2" t="inlineStr">
        <is>
          <t>+ </t>
        </is>
      </c>
      <c r="F4192" s="2" t="inlineStr">
        <is>
          <t>+ </t>
        </is>
      </c>
      <c r="H4192" s="2">
        <v>498</v>
      </c>
      <c r="I4192" s="2" t="inlineStr">
        <is>
          <t>$</t>
        </is>
      </c>
      <c r="J4192" s="2">
        <f>HYPERLINK("https://app.astro.lead-studio.pro/product/0d65438a-777b-46e4-8fac-e0606ac51585")</f>
      </c>
    </row>
    <row r="4193" spans="1:10" customHeight="0">
      <c r="A4193" s="2" t="inlineStr">
        <is>
          <t>Мониторы</t>
        </is>
      </c>
      <c r="B4193" s="2" t="inlineStr">
        <is>
          <t>LENOVO</t>
        </is>
      </c>
      <c r="C4193" s="2" t="inlineStr">
        <is>
          <t>12NAGAT1UK</t>
        </is>
      </c>
      <c r="D4193" s="2" t="inlineStr">
        <is>
          <t>Монитор Lenovo 23.8" ThinkCentre TIO24 G5 черный IPS 4ms 16:9 M/M Cam матовая HAS Piv 1000:1 250cd 178гр/178гр 1920x1080 60Hz DP FHD USB 6.66кг</t>
        </is>
      </c>
      <c r="E4193" s="2" t="inlineStr">
        <is>
          <t>+ </t>
        </is>
      </c>
      <c r="F4193" s="2" t="inlineStr">
        <is>
          <t>+ </t>
        </is>
      </c>
      <c r="H4193" s="2">
        <v>343</v>
      </c>
      <c r="I4193" s="2" t="inlineStr">
        <is>
          <t>$</t>
        </is>
      </c>
      <c r="J4193" s="2">
        <f>HYPERLINK("https://app.astro.lead-studio.pro/product/750afc7c-a976-4231-83e7-03d1ba5bac48")</f>
      </c>
    </row>
    <row r="4194" spans="1:10" customHeight="0">
      <c r="A4194" s="2" t="inlineStr">
        <is>
          <t>Мониторы</t>
        </is>
      </c>
      <c r="B4194" s="2" t="inlineStr">
        <is>
          <t>LENOVO</t>
        </is>
      </c>
      <c r="C4194" s="2" t="inlineStr">
        <is>
          <t>63B4GAT6UK</t>
        </is>
      </c>
      <c r="D4194" s="2" t="inlineStr">
        <is>
          <t>Монитор Lenovo 23.8" ThinkVision P24q-30 черный IPS LED 16:9 HDMI матовая HAS Piv 1000:1 300cd 178гр/178гр 2560x1440 60Hz DP Quad 2K (1440p) USB 5.7кг</t>
        </is>
      </c>
      <c r="E4194" s="2" t="inlineStr">
        <is>
          <t>++ </t>
        </is>
      </c>
      <c r="F4194" s="2" t="inlineStr">
        <is>
          <t>++ </t>
        </is>
      </c>
      <c r="H4194" s="2">
        <v>339</v>
      </c>
      <c r="I4194" s="2" t="inlineStr">
        <is>
          <t>$</t>
        </is>
      </c>
      <c r="J4194" s="2">
        <f>HYPERLINK("https://app.astro.lead-studio.pro/product/42b7e059-8169-4d12-94ec-6f496422ffbd")</f>
      </c>
    </row>
    <row r="4195" spans="1:10" customHeight="0">
      <c r="A4195" s="2" t="inlineStr">
        <is>
          <t>Мониторы</t>
        </is>
      </c>
      <c r="B4195" s="2" t="inlineStr">
        <is>
          <t>LENOVO</t>
        </is>
      </c>
      <c r="C4195" s="2" t="inlineStr">
        <is>
          <t>63A2GAT1UK</t>
        </is>
      </c>
      <c r="D4195" s="2" t="inlineStr">
        <is>
          <t>Монитор Lenovo 27" ThinkVision P27q-30 черный IPS LED 4ms 16:9 HDMI матовая HAS Piv 1000:1 350cd 178гр/178гр 2560x1440 60Hz DP Quad 2K (1440p) USB 6.8кг</t>
        </is>
      </c>
      <c r="E4195" s="2" t="inlineStr">
        <is>
          <t>+ </t>
        </is>
      </c>
      <c r="F4195" s="2" t="inlineStr">
        <is>
          <t>+ </t>
        </is>
      </c>
      <c r="H4195" s="2">
        <v>441</v>
      </c>
      <c r="I4195" s="2" t="inlineStr">
        <is>
          <t>$</t>
        </is>
      </c>
      <c r="J4195" s="2">
        <f>HYPERLINK("https://app.astro.lead-studio.pro/product/1b495e0f-a0ec-4fc6-abc4-0dbb0cd66599")</f>
      </c>
    </row>
    <row r="4196" spans="1:10" customHeight="0">
      <c r="A4196" s="2" t="inlineStr">
        <is>
          <t>Мониторы</t>
        </is>
      </c>
      <c r="B4196" s="2" t="inlineStr">
        <is>
          <t>LENOVO</t>
        </is>
      </c>
      <c r="C4196" s="2" t="inlineStr">
        <is>
          <t>63A3GAT1UK</t>
        </is>
      </c>
      <c r="D4196" s="2" t="inlineStr">
        <is>
          <t>Монитор Lenovo 27" ThinkVision T27h-30 черный IPS LED 16:9 HDMI M/M матовая HAS Piv 1000:1 350cd 178гр/178гр 2560x1440 60Hz DP QHD USB 6.9кг</t>
        </is>
      </c>
      <c r="E4196" s="2" t="inlineStr">
        <is>
          <t>+ </t>
        </is>
      </c>
      <c r="F4196" s="2" t="inlineStr">
        <is>
          <t>+ </t>
        </is>
      </c>
      <c r="H4196" s="2">
        <v>441</v>
      </c>
      <c r="I4196" s="2" t="inlineStr">
        <is>
          <t>$</t>
        </is>
      </c>
      <c r="J4196" s="2">
        <f>HYPERLINK("https://app.astro.lead-studio.pro/product/e4c28d74-c53a-4ed6-b139-107214dccb3b")</f>
      </c>
    </row>
    <row r="4197" spans="1:10" customHeight="0">
      <c r="A4197" s="2" t="inlineStr">
        <is>
          <t>Мониторы</t>
        </is>
      </c>
      <c r="B4197" s="2" t="inlineStr">
        <is>
          <t>LENOVO</t>
        </is>
      </c>
      <c r="C4197" s="2" t="inlineStr">
        <is>
          <t>63D6UAT3UK</t>
        </is>
      </c>
      <c r="D4197" s="2" t="inlineStr">
        <is>
          <t>Монитор Lenovo 27" ThinkVision T27hv-30 черный IPS LED 4ms 16:9 HDMI M/M Cam матовая HAS Piv 1000:1 300cd 178гр/178гр 2560x1440 75Hz DP 2K USB 7.9кг</t>
        </is>
      </c>
      <c r="E4197" s="2" t="inlineStr">
        <is>
          <t>+++ </t>
        </is>
      </c>
      <c r="F4197" s="2" t="inlineStr">
        <is>
          <t>+++ </t>
        </is>
      </c>
      <c r="H4197" s="2">
        <v>505</v>
      </c>
      <c r="I4197" s="2" t="inlineStr">
        <is>
          <t>$</t>
        </is>
      </c>
      <c r="J4197" s="2">
        <f>HYPERLINK("https://app.astro.lead-studio.pro/product/cfddd7bc-7d22-4346-b74f-c6956a4b925c")</f>
      </c>
    </row>
    <row r="4198" spans="1:10" customHeight="0">
      <c r="A4198" s="2" t="inlineStr">
        <is>
          <t>Мониторы</t>
        </is>
      </c>
      <c r="B4198" s="2" t="inlineStr">
        <is>
          <t>LENOVO</t>
        </is>
      </c>
      <c r="C4198" s="2" t="inlineStr">
        <is>
          <t>63D6UAR3EU</t>
        </is>
      </c>
      <c r="D4198" s="2" t="inlineStr">
        <is>
          <t>Монитор Lenovo 27" ThinkVision T27hv-30 черный IPS LED 4ms 16:9 HDMI M/M Cam матовая HAS Piv 1000:1 300cd 178гр/178гр 2560x1440 75Hz DP 2K USB 7.9кг</t>
        </is>
      </c>
      <c r="E4198" s="2" t="inlineStr">
        <is>
          <t>+ </t>
        </is>
      </c>
      <c r="F4198" s="2" t="inlineStr">
        <is>
          <t>+ </t>
        </is>
      </c>
      <c r="H4198" s="2">
        <v>501</v>
      </c>
      <c r="I4198" s="2" t="inlineStr">
        <is>
          <t>$</t>
        </is>
      </c>
      <c r="J4198" s="2">
        <f>HYPERLINK("https://app.astro.lead-studio.pro/product/a7f5e2bb-8a31-4add-a291-3f6775f8c03a")</f>
      </c>
    </row>
    <row r="4199" spans="1:10" customHeight="0">
      <c r="A4199" s="2" t="inlineStr">
        <is>
          <t>Мониторы</t>
        </is>
      </c>
      <c r="B4199" s="2" t="inlineStr">
        <is>
          <t>LENOVO</t>
        </is>
      </c>
      <c r="C4199" s="2" t="inlineStr">
        <is>
          <t>61EDGAT2UK</t>
        </is>
      </c>
      <c r="D4199" s="2" t="inlineStr">
        <is>
          <t>Монитор Lenovo 27" ThinkVision T27q-20 черный IPS 4ms 16:9 HDMI полуматовая HAS Piv 1000:1 350cd 178гр/178гр 2560x1440 60Hz DP 2K USB 7.44кг</t>
        </is>
      </c>
      <c r="E4199" s="2" t="inlineStr">
        <is>
          <t>+ </t>
        </is>
      </c>
      <c r="F4199" s="2" t="inlineStr">
        <is>
          <t>+ </t>
        </is>
      </c>
      <c r="H4199" s="2">
        <v>431</v>
      </c>
      <c r="I4199" s="2" t="inlineStr">
        <is>
          <t>$</t>
        </is>
      </c>
      <c r="J4199" s="2">
        <f>HYPERLINK("https://app.astro.lead-studio.pro/product/fa1ce134-08c9-43b1-832d-890f35b00baa")</f>
      </c>
    </row>
    <row r="4200" spans="1:10" customHeight="0">
      <c r="A4200" s="2" t="inlineStr">
        <is>
          <t>Мониторы</t>
        </is>
      </c>
      <c r="B4200" s="2" t="inlineStr">
        <is>
          <t>LENOVO</t>
        </is>
      </c>
      <c r="C4200" s="2" t="inlineStr">
        <is>
          <t>63D4GAT1UK</t>
        </is>
      </c>
      <c r="D4200" s="2" t="inlineStr">
        <is>
          <t>Монитор Lenovo 34" ThinkVision T34w-30 черный VA LED 21:9 HDMI матовая HAS Piv 3000:1 350cd 178гр/178гр 3440x1440 60Hz DP QHD USB 9.5кг</t>
        </is>
      </c>
      <c r="E4200" s="2" t="inlineStr">
        <is>
          <t>+ </t>
        </is>
      </c>
      <c r="F4200" s="2" t="inlineStr">
        <is>
          <t>+ </t>
        </is>
      </c>
      <c r="H4200" s="2">
        <v>722</v>
      </c>
      <c r="I4200" s="2" t="inlineStr">
        <is>
          <t>$</t>
        </is>
      </c>
      <c r="J4200" s="2">
        <f>HYPERLINK("https://app.astro.lead-studio.pro/product/8170c0e7-0b7c-4f79-85d7-496e82a7b67b")</f>
      </c>
    </row>
    <row r="4201" spans="1:10" customHeight="0">
      <c r="A4201" s="2" t="inlineStr">
        <is>
          <t>Мониторы</t>
        </is>
      </c>
      <c r="B4201" s="2" t="inlineStr">
        <is>
          <t>LG</t>
        </is>
      </c>
      <c r="C4201" s="2" t="inlineStr">
        <is>
          <t>27GS95QE-B.ARUZ</t>
        </is>
      </c>
      <c r="D4201" s="2" t="inlineStr">
        <is>
          <t>Монитор LG 26.5" UltraGear 27GS95QE-B черный OLED LED 16:9 HDMI матовая HAS Piv 275cd 178гр/178гр 2560x1440 240Hz FreeSync Premium Pro DP QHD USB 7.35кг</t>
        </is>
      </c>
      <c r="E4201" s="2" t="inlineStr">
        <is>
          <t>+++ </t>
        </is>
      </c>
      <c r="F4201" s="2" t="inlineStr">
        <is>
          <t>+++ </t>
        </is>
      </c>
      <c r="H4201" s="2">
        <v>1093</v>
      </c>
      <c r="I4201" s="2" t="inlineStr">
        <is>
          <t>$</t>
        </is>
      </c>
      <c r="J4201" s="2">
        <f>HYPERLINK("https://app.astro.lead-studio.pro/product/24a99cb0-69dd-4a3d-99df-ad6e69641696")</f>
      </c>
    </row>
    <row r="4202" spans="1:10" customHeight="0">
      <c r="A4202" s="2" t="inlineStr">
        <is>
          <t>Мониторы</t>
        </is>
      </c>
      <c r="B4202" s="2" t="inlineStr">
        <is>
          <t>LG</t>
        </is>
      </c>
      <c r="C4202" s="2" t="inlineStr">
        <is>
          <t>27UN880-B.ARUZ</t>
        </is>
      </c>
      <c r="D4202" s="2" t="inlineStr">
        <is>
          <t>Монитор LG 27" UltraFine 27UN880-B черный IPS LED 16:9 HDMI M/M матовая HAS Piv 350cd 178гр/178гр 3840x2160 60Hz FreeSync DP 4K USB 7.8кг</t>
        </is>
      </c>
      <c r="E4202" s="2" t="inlineStr">
        <is>
          <t>+++ </t>
        </is>
      </c>
      <c r="F4202" s="2" t="inlineStr">
        <is>
          <t>+++ </t>
        </is>
      </c>
      <c r="H4202" s="2">
        <v>548</v>
      </c>
      <c r="I4202" s="2" t="inlineStr">
        <is>
          <t>$</t>
        </is>
      </c>
      <c r="J4202" s="2">
        <f>HYPERLINK("https://app.astro.lead-studio.pro/product/44f2953e-f1b2-4e10-92ef-b2ef97cf3351")</f>
      </c>
    </row>
    <row r="4203" spans="1:10" customHeight="0">
      <c r="A4203" s="2" t="inlineStr">
        <is>
          <t>Мониторы</t>
        </is>
      </c>
      <c r="B4203" s="2" t="inlineStr">
        <is>
          <t>LG</t>
        </is>
      </c>
      <c r="C4203" s="2" t="inlineStr">
        <is>
          <t>27GP95RP-B.ARUZ</t>
        </is>
      </c>
      <c r="D4203" s="2" t="inlineStr">
        <is>
          <t>Монитор LG 27" UltraGear 27GP95RP-B черный IPS LED 1ms 16:9 HDMI матовая HAS 400cd 178гр/178гр 3840x2160 160Hz G-Sync FreeSync Premium Pro DP 4K USB 7.4кг</t>
        </is>
      </c>
      <c r="E4203" s="2" t="inlineStr">
        <is>
          <t>+++ </t>
        </is>
      </c>
      <c r="F4203" s="2" t="inlineStr">
        <is>
          <t>+++ </t>
        </is>
      </c>
      <c r="H4203" s="2">
        <v>713</v>
      </c>
      <c r="I4203" s="2" t="inlineStr">
        <is>
          <t>$</t>
        </is>
      </c>
      <c r="J4203" s="2">
        <f>HYPERLINK("https://app.astro.lead-studio.pro/product/873612f3-ac69-488d-a524-e1fda96df09b")</f>
      </c>
    </row>
    <row r="4204" spans="1:10" customHeight="0">
      <c r="A4204" s="2" t="inlineStr">
        <is>
          <t>Мониторы</t>
        </is>
      </c>
      <c r="B4204" s="2" t="inlineStr">
        <is>
          <t>LG</t>
        </is>
      </c>
      <c r="C4204" s="2" t="inlineStr">
        <is>
          <t>27GR75Q-B.ARUZ</t>
        </is>
      </c>
      <c r="D4204" s="2" t="inlineStr">
        <is>
          <t>Монитор LG 27" UltraGear 27GR75Q-B черный IPS LED 16:9 HDMI матовая HAS 300cd 178гр/178гр 2560x1440 144Hz FreeSync Premium DP QHD USB 6.19кг</t>
        </is>
      </c>
      <c r="E4204" s="2" t="inlineStr">
        <is>
          <t>+++ </t>
        </is>
      </c>
      <c r="F4204" s="2" t="inlineStr">
        <is>
          <t>+++ </t>
        </is>
      </c>
      <c r="H4204" s="2">
        <v>332</v>
      </c>
      <c r="I4204" s="2" t="inlineStr">
        <is>
          <t>$</t>
        </is>
      </c>
      <c r="J4204" s="2">
        <f>HYPERLINK("https://app.astro.lead-studio.pro/product/14c6ec63-9e5a-4a4d-91c4-d87d77b9b1de")</f>
      </c>
    </row>
    <row r="4205" spans="1:10" customHeight="0">
      <c r="A4205" s="2" t="inlineStr">
        <is>
          <t>Мониторы</t>
        </is>
      </c>
      <c r="B4205" s="2" t="inlineStr">
        <is>
          <t>LG</t>
        </is>
      </c>
      <c r="C4205" s="2" t="inlineStr">
        <is>
          <t>27GR83Q-B.ARUZ</t>
        </is>
      </c>
      <c r="D4205" s="2" t="inlineStr">
        <is>
          <t>Монитор LG 27" UltraGear 27GR83Q-B черный IPS LED 16:9 HDMI матовая HAS 500cd 178гр/178гр 2560x1440 240Hz G-Sync FreeSync Premium DP 2K USB 6.2кг</t>
        </is>
      </c>
      <c r="E4205" s="2" t="inlineStr">
        <is>
          <t>+ </t>
        </is>
      </c>
      <c r="F4205" s="2" t="inlineStr">
        <is>
          <t>+ </t>
        </is>
      </c>
      <c r="H4205" s="2">
        <v>485</v>
      </c>
      <c r="I4205" s="2" t="inlineStr">
        <is>
          <t>$</t>
        </is>
      </c>
      <c r="J4205" s="2">
        <f>HYPERLINK("https://app.astro.lead-studio.pro/product/95b09236-f5b2-4466-9e20-b86b9949eea7")</f>
      </c>
    </row>
    <row r="4206" spans="1:10" customHeight="0">
      <c r="A4206" s="2" t="inlineStr">
        <is>
          <t>Мониторы</t>
        </is>
      </c>
      <c r="B4206" s="2" t="inlineStr">
        <is>
          <t>LG</t>
        </is>
      </c>
      <c r="C4206" s="2" t="inlineStr">
        <is>
          <t>27GR95QE-B.ARUZ</t>
        </is>
      </c>
      <c r="D4206" s="2" t="inlineStr">
        <is>
          <t>Монитор LG 27" UltraGear 27GR95QE-B черный OLED LED 16:9 HDMI матовая HAS Piv 200cd 178гр/178гр 2560x1440 240Hz G-Sync FreeSync Premium DP QHD USB 7.35кг</t>
        </is>
      </c>
      <c r="E4206" s="2" t="inlineStr">
        <is>
          <t>+ </t>
        </is>
      </c>
      <c r="F4206" s="2" t="inlineStr">
        <is>
          <t>+ </t>
        </is>
      </c>
      <c r="H4206" s="2">
        <v>1050</v>
      </c>
      <c r="I4206" s="2" t="inlineStr">
        <is>
          <t>$</t>
        </is>
      </c>
      <c r="J4206" s="2">
        <f>HYPERLINK("https://app.astro.lead-studio.pro/product/379175f6-2dea-4dee-b87a-c725f7786df7")</f>
      </c>
    </row>
    <row r="4207" spans="1:10" customHeight="0">
      <c r="A4207" s="2" t="inlineStr">
        <is>
          <t>Мониторы</t>
        </is>
      </c>
      <c r="B4207" s="2" t="inlineStr">
        <is>
          <t>LG</t>
        </is>
      </c>
      <c r="C4207" s="2" t="inlineStr">
        <is>
          <t>27GS85Q-B.ARUZ</t>
        </is>
      </c>
      <c r="D4207" s="2" t="inlineStr">
        <is>
          <t>Монитор LG 27" UltraGear 27GS85Q-B черный IPS LED 16:9 HDMI матовая HAS 400cd 178гр/178гр 2560x1440 200Hz FreeSync DP 2K USB 6.2кг</t>
        </is>
      </c>
      <c r="E4207" s="2" t="inlineStr">
        <is>
          <t>+++ </t>
        </is>
      </c>
      <c r="F4207" s="2" t="inlineStr">
        <is>
          <t>+++ </t>
        </is>
      </c>
      <c r="H4207" s="2">
        <v>394</v>
      </c>
      <c r="I4207" s="2" t="inlineStr">
        <is>
          <t>$</t>
        </is>
      </c>
      <c r="J4207" s="2">
        <f>HYPERLINK("https://app.astro.lead-studio.pro/product/6d7a0159-230b-418b-b1a2-725a18761990")</f>
      </c>
    </row>
    <row r="4208" spans="1:10" customHeight="0">
      <c r="A4208" s="2" t="inlineStr">
        <is>
          <t>Мониторы</t>
        </is>
      </c>
      <c r="B4208" s="2" t="inlineStr">
        <is>
          <t>LG</t>
        </is>
      </c>
      <c r="C4208" s="2" t="inlineStr">
        <is>
          <t>32UN650-W.ARUZ</t>
        </is>
      </c>
      <c r="D4208" s="2" t="inlineStr">
        <is>
          <t>Монитор LG 31.5" 32UN650-W белый IPS LED 16:9 HDMI M/M матовая HAS 350cd 178гр/178гр 3840x2160 60Hz DP 4K 8.2кг</t>
        </is>
      </c>
      <c r="E4208" s="2" t="inlineStr">
        <is>
          <t>+++ </t>
        </is>
      </c>
      <c r="F4208" s="2" t="inlineStr">
        <is>
          <t>+++ </t>
        </is>
      </c>
      <c r="H4208" s="2">
        <v>432</v>
      </c>
      <c r="I4208" s="2" t="inlineStr">
        <is>
          <t>$</t>
        </is>
      </c>
      <c r="J4208" s="2">
        <f>HYPERLINK("https://app.astro.lead-studio.pro/product/4b87abef-2d20-4352-bd46-69f5b155d4cf")</f>
      </c>
    </row>
    <row r="4209" spans="1:10" customHeight="0">
      <c r="A4209" s="2" t="inlineStr">
        <is>
          <t>Мониторы</t>
        </is>
      </c>
      <c r="B4209" s="2" t="inlineStr">
        <is>
          <t>LG</t>
        </is>
      </c>
      <c r="C4209" s="2" t="inlineStr">
        <is>
          <t>32UN880-B.ARUZ</t>
        </is>
      </c>
      <c r="D4209" s="2" t="inlineStr">
        <is>
          <t>Монитор LG 31.5" 32UN880-B черный IPS LED 16:9 HDMI M/M матовая HAS Piv 350cd 178гр/178гр 3840x2160 60Hz FreeSync DP 4K USB 10.3кг</t>
        </is>
      </c>
      <c r="E4209" s="2" t="inlineStr">
        <is>
          <t>+++ </t>
        </is>
      </c>
      <c r="F4209" s="2" t="inlineStr">
        <is>
          <t>+++ </t>
        </is>
      </c>
      <c r="H4209" s="2">
        <v>621</v>
      </c>
      <c r="I4209" s="2" t="inlineStr">
        <is>
          <t>$</t>
        </is>
      </c>
      <c r="J4209" s="2">
        <f>HYPERLINK("https://app.astro.lead-studio.pro/product/77330c47-abd2-4fb3-b1c3-6fc05d4bd3c4")</f>
      </c>
    </row>
    <row r="4210" spans="1:10" customHeight="0">
      <c r="A4210" s="2" t="inlineStr">
        <is>
          <t>Мониторы</t>
        </is>
      </c>
      <c r="B4210" s="2" t="inlineStr">
        <is>
          <t>LG</t>
        </is>
      </c>
      <c r="C4210" s="2" t="inlineStr">
        <is>
          <t>32SQ700S-W.ARUZ</t>
        </is>
      </c>
      <c r="D4210" s="2" t="inlineStr">
        <is>
          <t>Монитор LG 31.5" MateView 32SQ700S-W белый VA LED 16:9 HDMI M/M матовая 250cd 178гр/178гр 3840x2160 60Hz UHD USB 6.5кг</t>
        </is>
      </c>
      <c r="E4210" s="2" t="inlineStr">
        <is>
          <t>++ </t>
        </is>
      </c>
      <c r="F4210" s="2" t="inlineStr">
        <is>
          <t>++ </t>
        </is>
      </c>
      <c r="H4210" s="2">
        <v>469</v>
      </c>
      <c r="I4210" s="2" t="inlineStr">
        <is>
          <t>$</t>
        </is>
      </c>
      <c r="J4210" s="2">
        <f>HYPERLINK("https://app.astro.lead-studio.pro/product/e5c4accb-9738-4f86-bea3-269141b4f645")</f>
      </c>
    </row>
    <row r="4211" spans="1:10" customHeight="0">
      <c r="A4211" s="2" t="inlineStr">
        <is>
          <t>Мониторы</t>
        </is>
      </c>
      <c r="B4211" s="2" t="inlineStr">
        <is>
          <t>LG</t>
        </is>
      </c>
      <c r="C4211" s="2" t="inlineStr">
        <is>
          <t>32SR83U-W.ARUZ</t>
        </is>
      </c>
      <c r="D4211" s="2" t="inlineStr">
        <is>
          <t>Монитор LG 31.5" MyView 32SR83U-W белый IPS LED 16:9 HDMI M/M матовая HAS 400cd 178гр/178гр 3840x2160 60Hz UHD USB 7.7кг</t>
        </is>
      </c>
      <c r="E4211" s="2" t="inlineStr">
        <is>
          <t>++ </t>
        </is>
      </c>
      <c r="F4211" s="2" t="inlineStr">
        <is>
          <t>++ </t>
        </is>
      </c>
      <c r="H4211" s="2">
        <v>630</v>
      </c>
      <c r="I4211" s="2" t="inlineStr">
        <is>
          <t>$</t>
        </is>
      </c>
      <c r="J4211" s="2">
        <f>HYPERLINK("https://app.astro.lead-studio.pro/product/53b4e605-407f-4886-8c03-3d810f0fc5fe")</f>
      </c>
    </row>
    <row r="4212" spans="1:10" customHeight="0">
      <c r="A4212" s="2" t="inlineStr">
        <is>
          <t>Мониторы</t>
        </is>
      </c>
      <c r="B4212" s="2" t="inlineStr">
        <is>
          <t>LG</t>
        </is>
      </c>
      <c r="C4212" s="2" t="inlineStr">
        <is>
          <t>32SR85U-W.ARUZ</t>
        </is>
      </c>
      <c r="D4212" s="2" t="inlineStr">
        <is>
          <t>Монитор LG 31.5" MyView 32SR85U-W белый IPS LED 16:9 HDMI M/M Cam матовая HAS 400cd 178гр/178гр 3840x2160 60Hz 4K USB 7.7кг</t>
        </is>
      </c>
      <c r="E4212" s="2" t="inlineStr">
        <is>
          <t>++ </t>
        </is>
      </c>
      <c r="F4212" s="2" t="inlineStr">
        <is>
          <t>++ </t>
        </is>
      </c>
      <c r="H4212" s="2">
        <v>700</v>
      </c>
      <c r="I4212" s="2" t="inlineStr">
        <is>
          <t>$</t>
        </is>
      </c>
      <c r="J4212" s="2">
        <f>HYPERLINK("https://app.astro.lead-studio.pro/product/b57d21cb-50ec-4975-b122-436cd7f94720")</f>
      </c>
    </row>
    <row r="4213" spans="1:10" customHeight="0">
      <c r="A4213" s="2" t="inlineStr">
        <is>
          <t>Мониторы</t>
        </is>
      </c>
      <c r="B4213" s="2" t="inlineStr">
        <is>
          <t>LG</t>
        </is>
      </c>
      <c r="C4213" s="2" t="inlineStr">
        <is>
          <t>32GR93U-B.ARUZ</t>
        </is>
      </c>
      <c r="D4213" s="2" t="inlineStr">
        <is>
          <t>Монитор LG 31.5" UltraGear 32GR93U-B черный IPS LED 16:9 HDMI матовая HAS 400cd 178гр/178гр 3840x2160 144Hz G-Sync FreeSync Premium DP UHD USB 8.3кг</t>
        </is>
      </c>
      <c r="E4213" s="2" t="inlineStr">
        <is>
          <t>++ </t>
        </is>
      </c>
      <c r="F4213" s="2" t="inlineStr">
        <is>
          <t>++ </t>
        </is>
      </c>
      <c r="H4213" s="2">
        <v>754</v>
      </c>
      <c r="I4213" s="2" t="inlineStr">
        <is>
          <t>$</t>
        </is>
      </c>
      <c r="J4213" s="2">
        <f>HYPERLINK("https://app.astro.lead-studio.pro/product/b0f6a43d-a00f-4ad0-84ae-d5c35e5a636a")</f>
      </c>
    </row>
    <row r="4214" spans="1:10" customHeight="0">
      <c r="A4214" s="2" t="inlineStr">
        <is>
          <t>Мониторы</t>
        </is>
      </c>
      <c r="B4214" s="2" t="inlineStr">
        <is>
          <t>LG</t>
        </is>
      </c>
      <c r="C4214" s="2" t="inlineStr">
        <is>
          <t>32GS85Q-B.ARUZ</t>
        </is>
      </c>
      <c r="D4214" s="2" t="inlineStr">
        <is>
          <t>Монитор LG 31.5" UltraGear 32GS85Q-B черный IPS LED 16:9 HDMI матовая HAS 350cd 178гр/178гр 2560x1440 180Hz FreeSync DP 2K USB 7.5кг</t>
        </is>
      </c>
      <c r="E4214" s="2" t="inlineStr">
        <is>
          <t>+++ </t>
        </is>
      </c>
      <c r="F4214" s="2" t="inlineStr">
        <is>
          <t>+++ </t>
        </is>
      </c>
      <c r="H4214" s="2">
        <v>507</v>
      </c>
      <c r="I4214" s="2" t="inlineStr">
        <is>
          <t>$</t>
        </is>
      </c>
      <c r="J4214" s="2">
        <f>HYPERLINK("https://app.astro.lead-studio.pro/product/acc4fb04-4d74-4f4f-8680-a6a94fa59817")</f>
      </c>
    </row>
    <row r="4215" spans="1:10" customHeight="0">
      <c r="A4215" s="2" t="inlineStr">
        <is>
          <t>Мониторы</t>
        </is>
      </c>
      <c r="B4215" s="2" t="inlineStr">
        <is>
          <t>LG</t>
        </is>
      </c>
      <c r="C4215" s="2" t="inlineStr">
        <is>
          <t>34GS95QE-B.ARUZ</t>
        </is>
      </c>
      <c r="D4215" s="2" t="inlineStr">
        <is>
          <t>Монитор LG 34" UltraWide 34GS95QE-B черный OLED LED 21:9 HDMI M/M матовая HAS Piv 275cd 178гр/178гр 3440x1440 240Hz G-Sync FreeSync Premium Pro DP WQ USB 9.3кг</t>
        </is>
      </c>
      <c r="E4215" s="2" t="inlineStr">
        <is>
          <t>+++ </t>
        </is>
      </c>
      <c r="F4215" s="2" t="inlineStr">
        <is>
          <t>+++ </t>
        </is>
      </c>
      <c r="H4215" s="2">
        <v>1457</v>
      </c>
      <c r="I4215" s="2" t="inlineStr">
        <is>
          <t>$</t>
        </is>
      </c>
      <c r="J4215" s="2">
        <f>HYPERLINK("https://app.astro.lead-studio.pro/product/7d0ebd57-c2fa-4afd-ac7c-1b66676d1dbf")</f>
      </c>
    </row>
    <row r="4216" spans="1:10" customHeight="0">
      <c r="A4216" s="2" t="inlineStr">
        <is>
          <t>Мониторы</t>
        </is>
      </c>
      <c r="B4216" s="2" t="inlineStr">
        <is>
          <t>LG</t>
        </is>
      </c>
      <c r="C4216" s="2" t="inlineStr">
        <is>
          <t>34WP65C-B.ARUZ</t>
        </is>
      </c>
      <c r="D4216" s="2" t="inlineStr">
        <is>
          <t>Монитор LG 34" UltraWide 34WP65C-B черный VA LED 21:9 HDMI M/M матовая HAS 300cd 178гр/178гр 3440x1440 160Hz FreeSync DP UW 7.7кг</t>
        </is>
      </c>
      <c r="E4216" s="2" t="inlineStr">
        <is>
          <t>+++ </t>
        </is>
      </c>
      <c r="F4216" s="2" t="inlineStr">
        <is>
          <t>+++ </t>
        </is>
      </c>
      <c r="H4216" s="2">
        <v>368</v>
      </c>
      <c r="I4216" s="2" t="inlineStr">
        <is>
          <t>$</t>
        </is>
      </c>
      <c r="J4216" s="2">
        <f>HYPERLINK("https://app.astro.lead-studio.pro/product/f3fb2d8e-e612-4ef9-b253-c43da60d7cdf")</f>
      </c>
    </row>
    <row r="4217" spans="1:10" customHeight="0">
      <c r="A4217" s="2" t="inlineStr">
        <is>
          <t>Мониторы</t>
        </is>
      </c>
      <c r="B4217" s="2" t="inlineStr">
        <is>
          <t>LG</t>
        </is>
      </c>
      <c r="C4217" s="2" t="inlineStr">
        <is>
          <t>34WQ60C-B.ARUZ</t>
        </is>
      </c>
      <c r="D4217" s="2" t="inlineStr">
        <is>
          <t>Монитор LG 34" UltraWide 34WQ60C-B черный IPS LED 21:9 HDMI матовая 300cd 178гр/178гр 3440x1440 60Hz DP WQ 6.9кг</t>
        </is>
      </c>
      <c r="E4217" s="2" t="inlineStr">
        <is>
          <t>+++ </t>
        </is>
      </c>
      <c r="F4217" s="2" t="inlineStr">
        <is>
          <t>+++ </t>
        </is>
      </c>
      <c r="H4217" s="2">
        <v>455</v>
      </c>
      <c r="I4217" s="2" t="inlineStr">
        <is>
          <t>$</t>
        </is>
      </c>
      <c r="J4217" s="2">
        <f>HYPERLINK("https://app.astro.lead-studio.pro/product/febc2df5-d87a-4b83-ae36-4aab409dbc0d")</f>
      </c>
    </row>
    <row r="4218" spans="1:10" customHeight="0">
      <c r="A4218" s="2" t="inlineStr">
        <is>
          <t>Мониторы</t>
        </is>
      </c>
      <c r="B4218" s="2" t="inlineStr">
        <is>
          <t>LG</t>
        </is>
      </c>
      <c r="C4218" s="2" t="inlineStr">
        <is>
          <t>34WR50QK-B.ARUZ</t>
        </is>
      </c>
      <c r="D4218" s="2" t="inlineStr">
        <is>
          <t>Монитор LG 34" UltraWide 34WR50QK-B черный VA LED 21:9 HDMI матовая 300cd 178гр/178гр 3440x1440 100Hz DP WQ 5.9кг</t>
        </is>
      </c>
      <c r="E4218" s="2" t="inlineStr">
        <is>
          <t>+++ </t>
        </is>
      </c>
      <c r="F4218" s="2" t="inlineStr">
        <is>
          <t>+++ </t>
        </is>
      </c>
      <c r="H4218" s="2">
        <v>366</v>
      </c>
      <c r="I4218" s="2" t="inlineStr">
        <is>
          <t>$</t>
        </is>
      </c>
      <c r="J4218" s="2">
        <f>HYPERLINK("https://app.astro.lead-studio.pro/product/e38ac150-4c31-4d30-acf1-f60a14b84294")</f>
      </c>
    </row>
    <row r="4219" spans="1:10" customHeight="0">
      <c r="A4219" s="2" t="inlineStr">
        <is>
          <t>Мониторы</t>
        </is>
      </c>
      <c r="B4219" s="2" t="inlineStr">
        <is>
          <t>LG</t>
        </is>
      </c>
      <c r="C4219" s="2" t="inlineStr">
        <is>
          <t>38WR85QC-W.ARUZ</t>
        </is>
      </c>
      <c r="D4219" s="2" t="inlineStr">
        <is>
          <t>Монитор LG 38" UltraWide 38WR85QC-W белый NANO IPS LED 21:9 HDMI M/M матовая HAS Piv 600cd 178гр/178гр 3840x1600 144Hz FreeSync Premium Pro DP WQ+ USB 10.5кг</t>
        </is>
      </c>
      <c r="E4219" s="2" t="inlineStr">
        <is>
          <t>+ </t>
        </is>
      </c>
      <c r="F4219" s="2" t="inlineStr">
        <is>
          <t>+ </t>
        </is>
      </c>
      <c r="H4219" s="2">
        <v>1309</v>
      </c>
      <c r="I4219" s="2" t="inlineStr">
        <is>
          <t>$</t>
        </is>
      </c>
      <c r="J4219" s="2">
        <f>HYPERLINK("https://app.astro.lead-studio.pro/product/ba3e82b1-9d72-451f-8277-771dd27387ca")</f>
      </c>
    </row>
    <row r="4220" spans="1:10" customHeight="0">
      <c r="A4220" s="2" t="inlineStr">
        <is>
          <t>Мониторы</t>
        </is>
      </c>
      <c r="B4220" s="2" t="inlineStr">
        <is>
          <t>LG</t>
        </is>
      </c>
      <c r="C4220" s="2" t="inlineStr">
        <is>
          <t>39GS95QE-B.ARUZ</t>
        </is>
      </c>
      <c r="D4220" s="2" t="inlineStr">
        <is>
          <t>Монитор LG 39" UltraGear 39GS95QE-B черный OLED LED 21:9 HDMI M/M матовая HAS Piv 275cd 178гр/178гр 3440x1440 240Hz G-Sync FreeSync Premium Pro DP 2K USB 10.4кг</t>
        </is>
      </c>
      <c r="E4220" s="2" t="inlineStr">
        <is>
          <t>+++ </t>
        </is>
      </c>
      <c r="F4220" s="2" t="inlineStr">
        <is>
          <t>+++ </t>
        </is>
      </c>
      <c r="H4220" s="2">
        <v>1796</v>
      </c>
      <c r="I4220" s="2" t="inlineStr">
        <is>
          <t>$</t>
        </is>
      </c>
      <c r="J4220" s="2">
        <f>HYPERLINK("https://app.astro.lead-studio.pro/product/e30048b8-7d2f-4790-955f-416ce06e136a")</f>
      </c>
    </row>
    <row r="4221" spans="1:10" customHeight="0">
      <c r="A4221" s="2" t="inlineStr">
        <is>
          <t>Мониторы</t>
        </is>
      </c>
      <c r="B4221" s="2" t="inlineStr">
        <is>
          <t>LG</t>
        </is>
      </c>
      <c r="C4221" s="2" t="inlineStr">
        <is>
          <t>40WP95C-W.ARUZ</t>
        </is>
      </c>
      <c r="D4221" s="2" t="inlineStr">
        <is>
          <t>Монитор LG 39.7" 40WP95C-W черный NANO IPS LED 21:9 (Ultrawide) HDMI M/M матовая HAS Piv 300cd 178гр/178гр 5120x2160 72Hz FreeSync DP 5K USB 12.3кг</t>
        </is>
      </c>
      <c r="E4221" s="2" t="inlineStr">
        <is>
          <t>+++ </t>
        </is>
      </c>
      <c r="F4221" s="2" t="inlineStr">
        <is>
          <t>+++ </t>
        </is>
      </c>
      <c r="H4221" s="2">
        <v>1306</v>
      </c>
      <c r="I4221" s="2" t="inlineStr">
        <is>
          <t>$</t>
        </is>
      </c>
      <c r="J4221" s="2">
        <f>HYPERLINK("https://app.astro.lead-studio.pro/product/5515ff36-53ab-4ec4-9d5d-bfc21a6ea43d")</f>
      </c>
    </row>
    <row r="4222" spans="1:10" customHeight="0">
      <c r="A4222" s="2" t="inlineStr">
        <is>
          <t>Мониторы</t>
        </is>
      </c>
      <c r="B4222" s="2" t="inlineStr">
        <is>
          <t>LG</t>
        </is>
      </c>
      <c r="C4222" s="2" t="inlineStr">
        <is>
          <t>45GR95QE-B.ARUZ</t>
        </is>
      </c>
      <c r="D4222" s="2" t="inlineStr">
        <is>
          <t>Монитор LG 44.5" (113.03см) UltraGear 45GR95QE-B черный OLED LED 21:9 HDMI матовая HAS Piv 1500000:1 1000cd 178гр/178гр 3440x1440 240Hz G-Sync FreeSync Premium DP SPDIF WQ USB 10.9кг</t>
        </is>
      </c>
      <c r="E4222" s="2" t="inlineStr">
        <is>
          <t>+ </t>
        </is>
      </c>
      <c r="F4222" s="2" t="inlineStr">
        <is>
          <t>+ </t>
        </is>
      </c>
      <c r="H4222" s="2">
        <v>1692</v>
      </c>
      <c r="I4222" s="2" t="inlineStr">
        <is>
          <t>$</t>
        </is>
      </c>
      <c r="J4222" s="2">
        <f>HYPERLINK("https://app.astro.lead-studio.pro/product/652eaa04-c7bf-4ca4-a7ae-7ba2b175f16d")</f>
      </c>
    </row>
    <row r="4223" spans="1:10" customHeight="0">
      <c r="A4223" s="2" t="inlineStr">
        <is>
          <t>Мониторы</t>
        </is>
      </c>
      <c r="B4223" s="2" t="inlineStr">
        <is>
          <t>LG</t>
        </is>
      </c>
      <c r="C4223" s="2" t="inlineStr">
        <is>
          <t>45GS95QE-B.ARUZ</t>
        </is>
      </c>
      <c r="D4223" s="2" t="inlineStr">
        <is>
          <t>Монитор LG 44.5" UltraGear 45GS95QE-B черный OLED LED 21:9 HDMI M/M матовая HAS Piv 1500000:1 1300cd 178гр/178гр 3440x1440 240Hz G-Sync FreeSync Premium Pro DP SPDIF WQ USB 12.3кг</t>
        </is>
      </c>
      <c r="E4223" s="2" t="inlineStr">
        <is>
          <t>+ </t>
        </is>
      </c>
      <c r="F4223" s="2" t="inlineStr">
        <is>
          <t>+ </t>
        </is>
      </c>
      <c r="H4223" s="2">
        <v>2070</v>
      </c>
      <c r="I4223" s="2" t="inlineStr">
        <is>
          <t>$</t>
        </is>
      </c>
      <c r="J4223" s="2">
        <f>HYPERLINK("https://app.astro.lead-studio.pro/product/7873e66c-8ede-44b4-8619-5183fdd7fc2c")</f>
      </c>
    </row>
    <row r="4224" spans="1:10" customHeight="0">
      <c r="A4224" s="2" t="inlineStr">
        <is>
          <t>Мониторы</t>
        </is>
      </c>
      <c r="B4224" s="2" t="inlineStr">
        <is>
          <t>LG</t>
        </is>
      </c>
      <c r="C4224" s="2" t="inlineStr">
        <is>
          <t>49GR85DC-B.ARUZ</t>
        </is>
      </c>
      <c r="D4224" s="2" t="inlineStr">
        <is>
          <t>Монитор LG 49" UltraGear 49GR85DC-B черный VA LED 32:9 HDMI матовая HAS Piv 3000:1 450cd 178гр/178гр 5120x1440 240Hz FreeSync Premium Pro DP 2K USB 15.1кг</t>
        </is>
      </c>
      <c r="E4224" s="2" t="inlineStr">
        <is>
          <t>++ </t>
        </is>
      </c>
      <c r="F4224" s="2" t="inlineStr">
        <is>
          <t>++ </t>
        </is>
      </c>
      <c r="H4224" s="2">
        <v>1300</v>
      </c>
      <c r="I4224" s="2" t="inlineStr">
        <is>
          <t>$</t>
        </is>
      </c>
      <c r="J4224" s="2">
        <f>HYPERLINK("https://app.astro.lead-studio.pro/product/9443c8c9-3d72-4a56-8bb4-dc56c450cc89")</f>
      </c>
    </row>
    <row r="4225" spans="1:10" customHeight="0">
      <c r="A4225" s="2" t="inlineStr">
        <is>
          <t>Мониторы</t>
        </is>
      </c>
      <c r="B4225" s="2" t="inlineStr">
        <is>
          <t>LIGHTCOM</t>
        </is>
      </c>
      <c r="C4225" s="2" t="inlineStr">
        <is>
          <t>ПЦВТ.852859.200-01</t>
        </is>
      </c>
      <c r="D4225" s="2" t="inlineStr">
        <is>
          <t>Монитор Lightcom 23.8" V-Lite ПЦВТ.852859.200-01 черный TFT 4ms 16:9 HDMI M/M матовая HAS Piv 300cd 178гр/178гр 1920x1080 75Hz VGA DP FHD USB (RUS)</t>
        </is>
      </c>
      <c r="E4225" s="2" t="inlineStr">
        <is>
          <t>+ </t>
        </is>
      </c>
      <c r="F4225" s="2" t="inlineStr">
        <is>
          <t>+ </t>
        </is>
      </c>
      <c r="H4225" s="2">
        <v>387</v>
      </c>
      <c r="I4225" s="2" t="inlineStr">
        <is>
          <t>$</t>
        </is>
      </c>
      <c r="J4225" s="2">
        <f>HYPERLINK("https://app.astro.lead-studio.pro/product/870cec0a-d5d0-49ff-80b0-f606f601876e")</f>
      </c>
    </row>
    <row r="4226" spans="1:10" customHeight="0">
      <c r="A4226" s="2" t="inlineStr">
        <is>
          <t>Мониторы</t>
        </is>
      </c>
      <c r="B4226" s="2" t="inlineStr">
        <is>
          <t>LIGHTCOM</t>
        </is>
      </c>
      <c r="C4226" s="2" t="inlineStr">
        <is>
          <t>ПЦВТ.852859.200-04</t>
        </is>
      </c>
      <c r="D4226" s="2" t="inlineStr">
        <is>
          <t>Монитор Lightcom 23.8" V-Lite ПЦВТ.852859.200-04 черный TFT 4ms 16:9 HDMI M/M матовая HAS 300cd 178гр/178гр 1920x1080 75Hz VGA DP FHD USB (RUS)</t>
        </is>
      </c>
      <c r="E4226" s="2" t="inlineStr">
        <is>
          <t>+ </t>
        </is>
      </c>
      <c r="F4226" s="2" t="inlineStr">
        <is>
          <t>+ </t>
        </is>
      </c>
      <c r="H4226" s="2">
        <v>360</v>
      </c>
      <c r="I4226" s="2" t="inlineStr">
        <is>
          <t>$</t>
        </is>
      </c>
      <c r="J4226" s="2">
        <f>HYPERLINK("https://app.astro.lead-studio.pro/product/79a36113-7bc4-4f13-bcbf-8b8dcb82922b")</f>
      </c>
    </row>
    <row r="4227" spans="1:10" customHeight="0">
      <c r="A4227" s="2" t="inlineStr">
        <is>
          <t>Мониторы</t>
        </is>
      </c>
      <c r="B4227" s="2" t="inlineStr">
        <is>
          <t>LIGHTCOM</t>
        </is>
      </c>
      <c r="C4227" s="2" t="inlineStr">
        <is>
          <t>ПЦВТ.852859.200-05</t>
        </is>
      </c>
      <c r="D4227" s="2" t="inlineStr">
        <is>
          <t>Монитор Lightcom 23.8" V-Lite ПЦВТ.852859.200-05 черный TFT 4ms 16:9 HDMI M/M Cam матовая HAS Piv 1000:1 300cd 178гр/178гр 1920x1080 75Hz VGA DP FHD USB 7.4кг (RUS)</t>
        </is>
      </c>
      <c r="E4227" s="2" t="inlineStr">
        <is>
          <t>+ </t>
        </is>
      </c>
      <c r="F4227" s="2" t="inlineStr">
        <is>
          <t>+ </t>
        </is>
      </c>
      <c r="H4227" s="2">
        <v>470</v>
      </c>
      <c r="I4227" s="2" t="inlineStr">
        <is>
          <t>$</t>
        </is>
      </c>
      <c r="J4227" s="2">
        <f>HYPERLINK("https://app.astro.lead-studio.pro/product/de5ea025-2e89-45bc-8b41-bdac6827d253")</f>
      </c>
    </row>
    <row r="4228" spans="1:10" customHeight="0">
      <c r="A4228" s="2" t="inlineStr">
        <is>
          <t>Мониторы</t>
        </is>
      </c>
      <c r="B4228" s="2" t="inlineStr">
        <is>
          <t>MSI</t>
        </is>
      </c>
      <c r="C4228" s="2" t="inlineStr">
        <is>
          <t>9S6-3CD89T-019</t>
        </is>
      </c>
      <c r="D4228" s="2" t="inlineStr">
        <is>
          <t>Монитор MSI 26.5" Mag 271QPX QD-OLED черный QD OLED LED 16:9 HDMI M/M матовая HAS Piv 1500000:1 250cd 178гр/178гр 2560x1440 360Hz DP 2K USB 8кг</t>
        </is>
      </c>
      <c r="E4228" s="2" t="inlineStr">
        <is>
          <t>+ </t>
        </is>
      </c>
      <c r="F4228" s="2" t="inlineStr">
        <is>
          <t>+ </t>
        </is>
      </c>
      <c r="H4228" s="2">
        <v>1287</v>
      </c>
      <c r="I4228" s="2" t="inlineStr">
        <is>
          <t>$</t>
        </is>
      </c>
      <c r="J4228" s="2">
        <f>HYPERLINK("https://app.astro.lead-studio.pro/product/aeb43786-a6d8-45d1-81a0-441bd5297d31")</f>
      </c>
    </row>
    <row r="4229" spans="1:10" customHeight="0">
      <c r="A4229" s="2" t="inlineStr">
        <is>
          <t>Мониторы</t>
        </is>
      </c>
      <c r="B4229" s="2" t="inlineStr">
        <is>
          <t>MSI</t>
        </is>
      </c>
      <c r="C4229" s="2" t="inlineStr">
        <is>
          <t>9S6-3CC29H-275</t>
        </is>
      </c>
      <c r="D4229" s="2" t="inlineStr">
        <is>
          <t>Монитор MSI 27" Optix MPG 274URF QD черный IPS LED 16:9 HDMI полуматовая HAS Piv 400cd 178гр/178гр 3840x2160 160Hz FreeSync Premium DP 4K USB 6.4кг</t>
        </is>
      </c>
      <c r="E4229" s="2" t="inlineStr">
        <is>
          <t>+ </t>
        </is>
      </c>
      <c r="F4229" s="2" t="inlineStr">
        <is>
          <t>+ </t>
        </is>
      </c>
      <c r="H4229" s="2">
        <v>646</v>
      </c>
      <c r="I4229" s="2" t="inlineStr">
        <is>
          <t>$</t>
        </is>
      </c>
      <c r="J4229" s="2">
        <f>HYPERLINK("https://app.astro.lead-studio.pro/product/bec76f05-b9c8-4fd0-9d32-dd3775a72d74")</f>
      </c>
    </row>
    <row r="4230" spans="1:10" customHeight="0">
      <c r="A4230" s="2" t="inlineStr">
        <is>
          <t>Мониторы</t>
        </is>
      </c>
      <c r="B4230" s="2" t="inlineStr">
        <is>
          <t>MSI</t>
        </is>
      </c>
      <c r="C4230" s="2" t="inlineStr">
        <is>
          <t>9S6-3DD54T-003</t>
        </is>
      </c>
      <c r="D4230" s="2" t="inlineStr">
        <is>
          <t>Монитор MSI 31.5" MAG 321CUP QD-OLED черный QD OLED LED 16:9 HDMI матовая HAS Piv 250cd 178гр/178гр 3840x2160 165Hz DP 4K USB 8кг</t>
        </is>
      </c>
      <c r="E4230" s="2" t="inlineStr">
        <is>
          <t>+ </t>
        </is>
      </c>
      <c r="F4230" s="2" t="inlineStr">
        <is>
          <t>+ </t>
        </is>
      </c>
      <c r="H4230" s="2">
        <v>1818</v>
      </c>
      <c r="I4230" s="2" t="inlineStr">
        <is>
          <t>$</t>
        </is>
      </c>
      <c r="J4230" s="2">
        <f>HYPERLINK("https://app.astro.lead-studio.pro/product/6d4338db-2a1b-44b6-83ac-b429ad024f7c")</f>
      </c>
    </row>
    <row r="4231" spans="1:10" customHeight="0">
      <c r="A4231" s="2" t="inlineStr">
        <is>
          <t>Мониторы</t>
        </is>
      </c>
      <c r="B4231" s="2" t="inlineStr">
        <is>
          <t>MSI</t>
        </is>
      </c>
      <c r="C4231" s="2" t="inlineStr">
        <is>
          <t>9S6-3DD64T-003</t>
        </is>
      </c>
      <c r="D4231" s="2" t="inlineStr">
        <is>
          <t>Монитор MSI 31.5" MPG 321CURX QD-OLED черный QD OLED LED 16:9 HDMI матовая HAS Piv 250cd 178гр/178гр 3840x2160 240Hz DP 4K 8.4кг</t>
        </is>
      </c>
      <c r="E4231" s="2" t="inlineStr">
        <is>
          <t>+ </t>
        </is>
      </c>
      <c r="F4231" s="2" t="inlineStr">
        <is>
          <t>+ </t>
        </is>
      </c>
      <c r="H4231" s="2">
        <v>1674</v>
      </c>
      <c r="I4231" s="2" t="inlineStr">
        <is>
          <t>$</t>
        </is>
      </c>
      <c r="J4231" s="2">
        <f>HYPERLINK("https://app.astro.lead-studio.pro/product/215d3be8-d53c-4449-bd6e-22e041816054")</f>
      </c>
    </row>
    <row r="4232" spans="1:10" customHeight="0">
      <c r="A4232" s="2" t="inlineStr">
        <is>
          <t>Мониторы</t>
        </is>
      </c>
      <c r="B4232" s="2" t="inlineStr">
        <is>
          <t>MSI</t>
        </is>
      </c>
      <c r="C4232" s="2" t="inlineStr">
        <is>
          <t>9S6-3DC79T-014</t>
        </is>
      </c>
      <c r="D4232" s="2" t="inlineStr">
        <is>
          <t>Монитор MSI 32" Mag 322UPF черный IPS LED 16:9 HDMI HAS Piv 400cd 178гр/178гр 3840x2160 160Hz DP 4K USB 10.6кг</t>
        </is>
      </c>
      <c r="E4232" s="2" t="inlineStr">
        <is>
          <t>+ </t>
        </is>
      </c>
      <c r="F4232" s="2" t="inlineStr">
        <is>
          <t>+ </t>
        </is>
      </c>
      <c r="H4232" s="2">
        <v>923</v>
      </c>
      <c r="I4232" s="2" t="inlineStr">
        <is>
          <t>$</t>
        </is>
      </c>
      <c r="J4232" s="2">
        <f>HYPERLINK("https://app.astro.lead-studio.pro/product/c998bf3d-e332-438b-9416-d6147a509abb")</f>
      </c>
    </row>
    <row r="4233" spans="1:10" customHeight="0">
      <c r="A4233" s="2" t="inlineStr">
        <is>
          <t>Мониторы</t>
        </is>
      </c>
      <c r="B4233" s="2" t="inlineStr">
        <is>
          <t>MSI</t>
        </is>
      </c>
      <c r="C4233" s="2" t="inlineStr">
        <is>
          <t>9S6-3DA98T-028</t>
        </is>
      </c>
      <c r="D4233" s="2" t="inlineStr">
        <is>
          <t>Монитор MSI 32" Summit MS321UP черный IPS LED 16:9 HDMI матовая HAS Piv 400cd 178гр/178гр 3840x2160 60Hz DP 4K USB 9.7кг</t>
        </is>
      </c>
      <c r="E4233" s="2" t="inlineStr">
        <is>
          <t>+ </t>
        </is>
      </c>
      <c r="F4233" s="2" t="inlineStr">
        <is>
          <t>+ </t>
        </is>
      </c>
      <c r="H4233" s="2">
        <v>829</v>
      </c>
      <c r="I4233" s="2" t="inlineStr">
        <is>
          <t>$</t>
        </is>
      </c>
      <c r="J4233" s="2">
        <f>HYPERLINK("https://app.astro.lead-studio.pro/product/62825cda-18d9-4f24-9fee-e14497e4c90a")</f>
      </c>
    </row>
    <row r="4234" spans="1:10" customHeight="0">
      <c r="A4234" s="2" t="inlineStr">
        <is>
          <t>Мониторы</t>
        </is>
      </c>
      <c r="B4234" s="2" t="inlineStr">
        <is>
          <t>MSI</t>
        </is>
      </c>
      <c r="C4234" s="2" t="inlineStr">
        <is>
          <t>9S6-3DD04T-010</t>
        </is>
      </c>
      <c r="D4234" s="2" t="inlineStr">
        <is>
          <t>Монитор MSI 34" MAG 341CQP QD-OLED черный QD OLED LED 21:9 HDMI матовая HAS 250cd 178гр/178гр 3440x1440 175Hz FreeSync Premium Pro DP UW USB 9.3кг</t>
        </is>
      </c>
      <c r="E4234" s="2" t="inlineStr">
        <is>
          <t>++ </t>
        </is>
      </c>
      <c r="F4234" s="2" t="inlineStr">
        <is>
          <t>++ </t>
        </is>
      </c>
      <c r="H4234" s="2">
        <v>1162</v>
      </c>
      <c r="I4234" s="2" t="inlineStr">
        <is>
          <t>$</t>
        </is>
      </c>
      <c r="J4234" s="2">
        <f>HYPERLINK("https://app.astro.lead-studio.pro/product/c6a18170-31f6-4a55-8746-87f8991248c0")</f>
      </c>
    </row>
    <row r="4235" spans="1:10" customHeight="0">
      <c r="A4235" s="2" t="inlineStr">
        <is>
          <t>Мониторы</t>
        </is>
      </c>
      <c r="B4235" s="2" t="inlineStr">
        <is>
          <t>MSI</t>
        </is>
      </c>
      <c r="C4235" s="2" t="inlineStr">
        <is>
          <t>9S6-3PC59H-031</t>
        </is>
      </c>
      <c r="D4235" s="2" t="inlineStr">
        <is>
          <t>Монитор MSI 34" Modern MD342CQP черный VA LED 21:9 HDMI M/M матовая HAS Piv 3500:1 300cd 178гр/178гр 3440x1440 120Hz DP UW USB 8.05кг</t>
        </is>
      </c>
      <c r="E4235" s="2" t="inlineStr">
        <is>
          <t>+ </t>
        </is>
      </c>
      <c r="F4235" s="2" t="inlineStr">
        <is>
          <t>+ </t>
        </is>
      </c>
      <c r="H4235" s="2">
        <v>361</v>
      </c>
      <c r="I4235" s="2" t="inlineStr">
        <is>
          <t>$</t>
        </is>
      </c>
      <c r="J4235" s="2">
        <f>HYPERLINK("https://app.astro.lead-studio.pro/product/0a1be008-aee2-4112-a7f0-6a29744d8653")</f>
      </c>
    </row>
    <row r="4236" spans="1:10" customHeight="0">
      <c r="A4236" s="2" t="inlineStr">
        <is>
          <t>Мониторы</t>
        </is>
      </c>
      <c r="B4236" s="2" t="inlineStr">
        <is>
          <t>MSI</t>
        </is>
      </c>
      <c r="C4236" s="2" t="inlineStr">
        <is>
          <t>9S6-3PC59H-021</t>
        </is>
      </c>
      <c r="D4236" s="2" t="inlineStr">
        <is>
          <t>Монитор MSI 34" Modern MD342CQPW белый VA LED 21:9 HDMI M/M матовая HAS Piv 3500:1 300cd 178гр/178гр 3440x1440 120Hz DP UW USB 8.05кг</t>
        </is>
      </c>
      <c r="E4236" s="2" t="inlineStr">
        <is>
          <t>+ </t>
        </is>
      </c>
      <c r="F4236" s="2" t="inlineStr">
        <is>
          <t>+ </t>
        </is>
      </c>
      <c r="H4236" s="2">
        <v>424</v>
      </c>
      <c r="I4236" s="2" t="inlineStr">
        <is>
          <t>$</t>
        </is>
      </c>
      <c r="J4236" s="2">
        <f>HYPERLINK("https://app.astro.lead-studio.pro/product/47659a86-263d-4280-9828-0756f7ebcca2")</f>
      </c>
    </row>
    <row r="4237" spans="1:10" customHeight="0">
      <c r="A4237" s="2" t="inlineStr">
        <is>
          <t>Мониторы</t>
        </is>
      </c>
      <c r="B4237" s="2" t="inlineStr">
        <is>
          <t>MSI</t>
        </is>
      </c>
      <c r="C4237" s="2" t="inlineStr">
        <is>
          <t>9S6-3DD04T-023</t>
        </is>
      </c>
      <c r="D4237" s="2" t="inlineStr">
        <is>
          <t>Монитор MSI 34" MPG 341CQPX черный QD OLED LED 21:9 HDMI матовая HAS Piv 250cd 178гр/178гр 3440x1440 240Hz DP UW USB 8.9кг</t>
        </is>
      </c>
      <c r="E4237" s="2" t="inlineStr">
        <is>
          <t>+ </t>
        </is>
      </c>
      <c r="F4237" s="2" t="inlineStr">
        <is>
          <t>+ </t>
        </is>
      </c>
      <c r="H4237" s="2">
        <v>1383</v>
      </c>
      <c r="I4237" s="2" t="inlineStr">
        <is>
          <t>$</t>
        </is>
      </c>
      <c r="J4237" s="2">
        <f>HYPERLINK("https://app.astro.lead-studio.pro/product/8c73558e-0844-44ba-9b89-f7813acf2fff")</f>
      </c>
    </row>
    <row r="4238" spans="1:10" customHeight="0">
      <c r="A4238" s="2" t="inlineStr">
        <is>
          <t>Мониторы</t>
        </is>
      </c>
      <c r="B4238" s="2" t="inlineStr">
        <is>
          <t>PHILIPS</t>
        </is>
      </c>
      <c r="C4238" s="2" t="inlineStr">
        <is>
          <t>279P1</t>
        </is>
      </c>
      <c r="D4238" s="2" t="inlineStr">
        <is>
          <t>Монитор Philips 27" 279P1(00/01) черный IPS LED 16:9 HDMI M/M матовая HAS Piv 350cd 178гр/178гр 3840x2160 60Hz DP UHD USB 7.52кг</t>
        </is>
      </c>
      <c r="E4238" s="2" t="inlineStr">
        <is>
          <t>++ </t>
        </is>
      </c>
      <c r="F4238" s="2" t="inlineStr">
        <is>
          <t>++ </t>
        </is>
      </c>
      <c r="H4238" s="2">
        <v>449</v>
      </c>
      <c r="I4238" s="2" t="inlineStr">
        <is>
          <t>$</t>
        </is>
      </c>
      <c r="J4238" s="2">
        <f>HYPERLINK("https://app.astro.lead-studio.pro/product/4dd24dd2-9e2b-4f5e-bd08-56678f33d50a")</f>
      </c>
    </row>
    <row r="4239" spans="1:10" customHeight="0">
      <c r="A4239" s="2" t="inlineStr">
        <is>
          <t>Мониторы</t>
        </is>
      </c>
      <c r="B4239" s="2" t="inlineStr">
        <is>
          <t>PHILIPS</t>
        </is>
      </c>
      <c r="C4239" s="2" t="inlineStr">
        <is>
          <t>27M2C5500W (00/01)</t>
        </is>
      </c>
      <c r="D4239" s="2" t="inlineStr">
        <is>
          <t>Монитор Philips 27" Evnia 5000 27M2C5500W/01 темный сланец VA LED 0.5ms 16:9 HDMI матовая HAS Piv 400cd 2560x1440 240Hz FreeSync Premium Pro DP QHD USB 6.3кг</t>
        </is>
      </c>
      <c r="E4239" s="2" t="inlineStr">
        <is>
          <t>+ </t>
        </is>
      </c>
      <c r="F4239" s="2" t="inlineStr">
        <is>
          <t>+ </t>
        </is>
      </c>
      <c r="H4239" s="2">
        <v>478</v>
      </c>
      <c r="I4239" s="2" t="inlineStr">
        <is>
          <t>$</t>
        </is>
      </c>
      <c r="J4239" s="2">
        <f>HYPERLINK("https://app.astro.lead-studio.pro/product/52038887-8e97-4899-aeeb-03867e520887")</f>
      </c>
    </row>
    <row r="4240" spans="1:10" customHeight="0">
      <c r="A4240" s="2" t="inlineStr">
        <is>
          <t>Мониторы</t>
        </is>
      </c>
      <c r="B4240" s="2" t="inlineStr">
        <is>
          <t>PHILIPS</t>
        </is>
      </c>
      <c r="C4240" s="2" t="inlineStr">
        <is>
          <t>32M1C5500VL/01</t>
        </is>
      </c>
      <c r="D4240" s="2" t="inlineStr">
        <is>
          <t>Монитор Philips 31.5" 32M1C5500VL черный VA LED 1ms 16:9 HDMI матовая 3000:1 250cd 178гр/178гр 2560x1440 144Hz DP QHD 7.83кг</t>
        </is>
      </c>
      <c r="E4240" s="2" t="inlineStr">
        <is>
          <t>+++ </t>
        </is>
      </c>
      <c r="F4240" s="2" t="inlineStr">
        <is>
          <t>+++ </t>
        </is>
      </c>
      <c r="H4240" s="2">
        <v>320</v>
      </c>
      <c r="I4240" s="2" t="inlineStr">
        <is>
          <t>$</t>
        </is>
      </c>
      <c r="J4240" s="2">
        <f>HYPERLINK("https://app.astro.lead-studio.pro/product/643774fd-aba3-4d8e-b120-4988e0b0af78")</f>
      </c>
    </row>
    <row r="4241" spans="1:10" customHeight="0">
      <c r="A4241" s="2" t="inlineStr">
        <is>
          <t>Мониторы</t>
        </is>
      </c>
      <c r="B4241" s="2" t="inlineStr">
        <is>
          <t>RDW COMPUTERS</t>
        </is>
      </c>
      <c r="C4241" s="2" t="inlineStr">
        <is>
          <t>RDW2701K/Q03В3100V2A1</t>
        </is>
      </c>
      <c r="D4241" s="2" t="inlineStr">
        <is>
          <t>Монитор RDW Computers 27" RDW2701K черный IPS 1ms 16:9 HDMI M/M HAS Piv 1000:1 350cd 178гр/178гр 2560x1440 100Hz DP QHD USB 1.7кг (RUS)</t>
        </is>
      </c>
      <c r="E4241" s="2" t="inlineStr">
        <is>
          <t>+ </t>
        </is>
      </c>
      <c r="F4241" s="2" t="inlineStr">
        <is>
          <t>+ </t>
        </is>
      </c>
      <c r="H4241" s="2">
        <v>424</v>
      </c>
      <c r="I4241" s="2" t="inlineStr">
        <is>
          <t>$</t>
        </is>
      </c>
      <c r="J4241" s="2">
        <f>HYPERLINK("https://app.astro.lead-studio.pro/product/c4c03873-3eb6-4588-a905-418ca48ab6f8")</f>
      </c>
    </row>
    <row r="4242" spans="1:10" customHeight="0">
      <c r="A4242" s="2" t="inlineStr">
        <is>
          <t>Мониторы</t>
        </is>
      </c>
      <c r="B4242" s="2" t="inlineStr">
        <is>
          <t>RDW COMPUTERS</t>
        </is>
      </c>
      <c r="C4242" s="2" t="inlineStr">
        <is>
          <t>RDW2702K/Q19В3100V2A1</t>
        </is>
      </c>
      <c r="D4242" s="2" t="inlineStr">
        <is>
          <t>Монитор RDW Computers 27" RDW2702K черный IPS 1ms 16:9 HDMI M/M Cam HAS Piv 1000:1 350cd 178гр/178гр 2560x1440 100Hz DP QHD 1.7кг (RUS)</t>
        </is>
      </c>
      <c r="E4242" s="2" t="inlineStr">
        <is>
          <t>+ </t>
        </is>
      </c>
      <c r="F4242" s="2" t="inlineStr">
        <is>
          <t>+ </t>
        </is>
      </c>
      <c r="H4242" s="2">
        <v>416</v>
      </c>
      <c r="I4242" s="2" t="inlineStr">
        <is>
          <t>$</t>
        </is>
      </c>
      <c r="J4242" s="2">
        <f>HYPERLINK("https://app.astro.lead-studio.pro/product/282e46e2-0803-4f99-a382-e3e717ded3e4")</f>
      </c>
    </row>
    <row r="4243" spans="1:10" customHeight="0">
      <c r="A4243" s="2" t="inlineStr">
        <is>
          <t>Мониторы</t>
        </is>
      </c>
      <c r="B4243" s="2" t="inlineStr">
        <is>
          <t>RDW COMPUTERS</t>
        </is>
      </c>
      <c r="C4243" s="2" t="inlineStr">
        <is>
          <t>RDW2706C/Q03В375V2A1</t>
        </is>
      </c>
      <c r="D4243" s="2" t="inlineStr">
        <is>
          <t>Монитор RDW Computers 27" RDW2706C (Q03В375V2A1) черный VA 1ms 16:9 HDMI M/M матовая HAS Piv 4000:1 300cd 178гр/178гр 2560x1440 75Hz DP 2K USB (RUS)</t>
        </is>
      </c>
      <c r="E4243" s="2" t="inlineStr">
        <is>
          <t>+ </t>
        </is>
      </c>
      <c r="F4243" s="2" t="inlineStr">
        <is>
          <t>+ </t>
        </is>
      </c>
      <c r="H4243" s="2">
        <v>380</v>
      </c>
      <c r="I4243" s="2" t="inlineStr">
        <is>
          <t>$</t>
        </is>
      </c>
      <c r="J4243" s="2">
        <f>HYPERLINK("https://app.astro.lead-studio.pro/product/c4e94796-df7f-4ce8-be24-52a91d8bb711")</f>
      </c>
    </row>
    <row r="4244" spans="1:10" customHeight="0">
      <c r="A4244" s="2" t="inlineStr">
        <is>
          <t>Мониторы</t>
        </is>
      </c>
      <c r="B4244" s="2" t="inlineStr">
        <is>
          <t>SAMSUNG</t>
        </is>
      </c>
      <c r="C4244" s="2" t="inlineStr">
        <is>
          <t>LS27BG400EIXCI</t>
        </is>
      </c>
      <c r="D4244" s="2" t="inlineStr">
        <is>
          <t>Монитор Samsung 27" Odyssey G4 S27BG400EI черный IPS LED 16:9 HDMI полуматовая HAS Piv 400cd 178гр/178гр 1920x1080 240Hz G-Sync FreeSync Premium DP FHD 5.3кг</t>
        </is>
      </c>
      <c r="E4244" s="2" t="inlineStr">
        <is>
          <t>+++ </t>
        </is>
      </c>
      <c r="F4244" s="2" t="inlineStr">
        <is>
          <t>+++ </t>
        </is>
      </c>
      <c r="H4244" s="2">
        <v>331</v>
      </c>
      <c r="I4244" s="2" t="inlineStr">
        <is>
          <t>$</t>
        </is>
      </c>
      <c r="J4244" s="2">
        <f>HYPERLINK("https://app.astro.lead-studio.pro/product/b8f71d24-d09d-4f65-af65-5d0ceec36b1f")</f>
      </c>
    </row>
    <row r="4245" spans="1:10" customHeight="0">
      <c r="A4245" s="2" t="inlineStr">
        <is>
          <t>Мониторы</t>
        </is>
      </c>
      <c r="B4245" s="2" t="inlineStr">
        <is>
          <t>SAMSUNG</t>
        </is>
      </c>
      <c r="C4245" s="2" t="inlineStr">
        <is>
          <t>LS27BG650EIXCI</t>
        </is>
      </c>
      <c r="D4245" s="2" t="inlineStr">
        <is>
          <t>Монитор Samsung 27" Odyssey G6 S27BG650EI черный VA LED 16:9 HDMI M/M полуматовая HAS Piv 350cd 178гр/178гр 2560x1440 240Hz FreeSync Premium Pro DP QHD USB 6.4кг</t>
        </is>
      </c>
      <c r="E4245" s="2" t="inlineStr">
        <is>
          <t>+++ </t>
        </is>
      </c>
      <c r="F4245" s="2" t="inlineStr">
        <is>
          <t>+++ </t>
        </is>
      </c>
      <c r="H4245" s="2">
        <v>488</v>
      </c>
      <c r="I4245" s="2" t="inlineStr">
        <is>
          <t>$</t>
        </is>
      </c>
      <c r="J4245" s="2">
        <f>HYPERLINK("https://app.astro.lead-studio.pro/product/a195c525-04fb-4c16-8682-e187aaf4a449")</f>
      </c>
    </row>
    <row r="4246" spans="1:10" customHeight="0">
      <c r="A4246" s="2" t="inlineStr">
        <is>
          <t>Мониторы</t>
        </is>
      </c>
      <c r="B4246" s="2" t="inlineStr">
        <is>
          <t>SAMSUNG</t>
        </is>
      </c>
      <c r="C4246" s="2" t="inlineStr">
        <is>
          <t>LS27B800PXIXCI</t>
        </is>
      </c>
      <c r="D4246" s="2" t="inlineStr">
        <is>
          <t>Монитор Samsung 27" ViewFinity S27B800PXIXCI черный IPS LED 16:9 HDMI полуматовая HAS Piv 350cd 178гр/178гр 3840x2160 60Hz DP 4K USB 6.7кг</t>
        </is>
      </c>
      <c r="E4246" s="2" t="inlineStr">
        <is>
          <t>+++ </t>
        </is>
      </c>
      <c r="F4246" s="2" t="inlineStr">
        <is>
          <t>+++ </t>
        </is>
      </c>
      <c r="H4246" s="2">
        <v>499</v>
      </c>
      <c r="I4246" s="2" t="inlineStr">
        <is>
          <t>$</t>
        </is>
      </c>
      <c r="J4246" s="2">
        <f>HYPERLINK("https://app.astro.lead-studio.pro/product/0b14fdf7-63db-463a-b350-e39706b1386b")</f>
      </c>
    </row>
    <row r="4247" spans="1:10" customHeight="0">
      <c r="A4247" s="2" t="inlineStr">
        <is>
          <t>Мониторы</t>
        </is>
      </c>
      <c r="B4247" s="2" t="inlineStr">
        <is>
          <t>SAMSUNG</t>
        </is>
      </c>
      <c r="C4247" s="2" t="inlineStr">
        <is>
          <t>LS27D700EAIXCI</t>
        </is>
      </c>
      <c r="D4247" s="2" t="inlineStr">
        <is>
          <t>Монитор Samsung 27" ViewFinity S7 S27D700EAIXCI черный IPS LED 5ms 16:9 HDMI матовая 350cd 178гр/178гр 3840x2160 60Hz DP 4K 5кг</t>
        </is>
      </c>
      <c r="E4247" s="2" t="inlineStr">
        <is>
          <t>+ </t>
        </is>
      </c>
      <c r="F4247" s="2" t="inlineStr">
        <is>
          <t>+ </t>
        </is>
      </c>
      <c r="H4247" s="2">
        <v>351</v>
      </c>
      <c r="I4247" s="2" t="inlineStr">
        <is>
          <t>$</t>
        </is>
      </c>
      <c r="J4247" s="2">
        <f>HYPERLINK("https://app.astro.lead-studio.pro/product/30e1abec-5b3c-4c04-87cd-7635ba285508")</f>
      </c>
    </row>
    <row r="4248" spans="1:10" customHeight="0">
      <c r="A4248" s="2" t="inlineStr">
        <is>
          <t>Мониторы</t>
        </is>
      </c>
      <c r="B4248" s="2" t="inlineStr">
        <is>
          <t>SAMSUNG</t>
        </is>
      </c>
      <c r="C4248" s="2" t="inlineStr">
        <is>
          <t>LS27D800EAIXCI</t>
        </is>
      </c>
      <c r="D4248" s="2" t="inlineStr">
        <is>
          <t>Монитор Samsung 27" ViewFinity S8 S27D800EAIXCI черный IPS LED 5ms 16:9 HDMI матовая HAS Piv 1000:1 350cd 178гр/178гр 3840x2160 60Hz DP 4K USB 6.1кг</t>
        </is>
      </c>
      <c r="E4248" s="2" t="inlineStr">
        <is>
          <t>+++ </t>
        </is>
      </c>
      <c r="F4248" s="2" t="inlineStr">
        <is>
          <t>+++ </t>
        </is>
      </c>
      <c r="H4248" s="2">
        <v>390</v>
      </c>
      <c r="I4248" s="2" t="inlineStr">
        <is>
          <t>$</t>
        </is>
      </c>
      <c r="J4248" s="2">
        <f>HYPERLINK("https://app.astro.lead-studio.pro/product/c0313ac8-121a-458c-87b1-7ddb30917b4e")</f>
      </c>
    </row>
    <row r="4249" spans="1:10" customHeight="0">
      <c r="A4249" s="2" t="inlineStr">
        <is>
          <t>Мониторы</t>
        </is>
      </c>
      <c r="B4249" s="2" t="inlineStr">
        <is>
          <t>SAMSUNG</t>
        </is>
      </c>
      <c r="C4249" s="2" t="inlineStr">
        <is>
          <t>LS27C902PAIXCI</t>
        </is>
      </c>
      <c r="D4249" s="2" t="inlineStr">
        <is>
          <t>Монитор Samsung 27" ViewFinity S9 S27C902PAI серебристый IPS LED 16:9 M/M Cam полуматовая HAS 600cd 178гр/178гр 5120x2880 60Hz 5K USB 7.4кг</t>
        </is>
      </c>
      <c r="E4249" s="2" t="inlineStr">
        <is>
          <t>++ </t>
        </is>
      </c>
      <c r="F4249" s="2" t="inlineStr">
        <is>
          <t>++ </t>
        </is>
      </c>
      <c r="H4249" s="2">
        <v>1177</v>
      </c>
      <c r="I4249" s="2" t="inlineStr">
        <is>
          <t>$</t>
        </is>
      </c>
      <c r="J4249" s="2">
        <f>HYPERLINK("https://app.astro.lead-studio.pro/product/f69ea98f-ddc4-40c5-8fd3-b44713297c27")</f>
      </c>
    </row>
    <row r="4250" spans="1:10" customHeight="0">
      <c r="A4250" s="2" t="inlineStr">
        <is>
          <t>Мониторы</t>
        </is>
      </c>
      <c r="B4250" s="2" t="inlineStr">
        <is>
          <t>SAMSUNG</t>
        </is>
      </c>
      <c r="C4250" s="2" t="inlineStr">
        <is>
          <t>LU32J590UQPXEN</t>
        </is>
      </c>
      <c r="D4250" s="2" t="inlineStr">
        <is>
          <t>Монитор Samsung 31.5" LU32J590UQPXEN темно-серый VA LED 16:9 HDMI матовая 270cd 178гр/178гр 3840x2160 60Hz FreeSync DP 4K 6.3кг</t>
        </is>
      </c>
      <c r="E4250" s="2" t="inlineStr">
        <is>
          <t>++ </t>
        </is>
      </c>
      <c r="F4250" s="2" t="inlineStr">
        <is>
          <t>++ </t>
        </is>
      </c>
      <c r="H4250" s="2">
        <v>399</v>
      </c>
      <c r="I4250" s="2" t="inlineStr">
        <is>
          <t>$</t>
        </is>
      </c>
      <c r="J4250" s="2">
        <f>HYPERLINK("https://app.astro.lead-studio.pro/product/8551ac72-1ca1-43ce-b315-6fb4aebce102")</f>
      </c>
    </row>
    <row r="4251" spans="1:10" customHeight="0">
      <c r="A4251" s="2" t="inlineStr">
        <is>
          <t>Мониторы</t>
        </is>
      </c>
      <c r="B4251" s="2" t="inlineStr">
        <is>
          <t>SAMSUNG</t>
        </is>
      </c>
      <c r="C4251" s="2" t="inlineStr">
        <is>
          <t>LS32A700NWIXCI</t>
        </is>
      </c>
      <c r="D4251" s="2" t="inlineStr">
        <is>
          <t>Монитор Samsung 31.5" S32A700NWI черный VA LED 5ms 16:9 HDMI матовая 300cd 178гр/178гр 3840x2160 60Hz DP 4K 6.1кг (RUS)</t>
        </is>
      </c>
      <c r="E4251" s="2" t="inlineStr">
        <is>
          <t>++ </t>
        </is>
      </c>
      <c r="F4251" s="2" t="inlineStr">
        <is>
          <t>++ </t>
        </is>
      </c>
      <c r="H4251" s="2">
        <v>398</v>
      </c>
      <c r="I4251" s="2" t="inlineStr">
        <is>
          <t>$</t>
        </is>
      </c>
      <c r="J4251" s="2">
        <f>HYPERLINK("https://app.astro.lead-studio.pro/product/c9ecce55-bfc5-49a0-bfc0-fb449bf2c8bb")</f>
      </c>
    </row>
    <row r="4252" spans="1:10" customHeight="0">
      <c r="A4252" s="2" t="inlineStr">
        <is>
          <t>Мониторы</t>
        </is>
      </c>
      <c r="B4252" s="2" t="inlineStr">
        <is>
          <t>SAMSUNG</t>
        </is>
      </c>
      <c r="C4252" s="2" t="inlineStr">
        <is>
          <t>LS32DM801UIXCI</t>
        </is>
      </c>
      <c r="D4252" s="2" t="inlineStr">
        <is>
          <t>Монитор Samsung 32" M8 S32DM801UIXCI белый VA LED 16:9 HDMI M/M Cam матовая HAS 400cd 178гр/178гр 3840x2160 60Hz 4K USB 7.2кг</t>
        </is>
      </c>
      <c r="E4252" s="2" t="inlineStr">
        <is>
          <t>+ </t>
        </is>
      </c>
      <c r="F4252" s="2" t="inlineStr">
        <is>
          <t>+ </t>
        </is>
      </c>
      <c r="H4252" s="2">
        <v>609</v>
      </c>
      <c r="I4252" s="2" t="inlineStr">
        <is>
          <t>$</t>
        </is>
      </c>
      <c r="J4252" s="2">
        <f>HYPERLINK("https://app.astro.lead-studio.pro/product/91ada38d-3ccc-4131-a86d-775156d6fa20")</f>
      </c>
    </row>
    <row r="4253" spans="1:10" customHeight="0">
      <c r="A4253" s="2" t="inlineStr">
        <is>
          <t>Мониторы</t>
        </is>
      </c>
      <c r="B4253" s="2" t="inlineStr">
        <is>
          <t>SAMSUNG</t>
        </is>
      </c>
      <c r="C4253" s="2" t="inlineStr">
        <is>
          <t>LS32CG550EIXCI</t>
        </is>
      </c>
      <c r="D4253" s="2" t="inlineStr">
        <is>
          <t>Монитор Samsung 32" Odyssey G5 S32CG550EI черный VA LED 1ms 16:9 HDMI матовая 300cd 178гр/178гр 2560x1440 165Hz FreeSync DP 2K USB 5.2кг</t>
        </is>
      </c>
      <c r="E4253" s="2" t="inlineStr">
        <is>
          <t>+++ </t>
        </is>
      </c>
      <c r="F4253" s="2" t="inlineStr">
        <is>
          <t>+++ </t>
        </is>
      </c>
      <c r="H4253" s="2">
        <v>362</v>
      </c>
      <c r="I4253" s="2" t="inlineStr">
        <is>
          <t>$</t>
        </is>
      </c>
      <c r="J4253" s="2">
        <f>HYPERLINK("https://app.astro.lead-studio.pro/product/b9effd7f-45b3-4a3c-889f-221a83045ea3")</f>
      </c>
    </row>
    <row r="4254" spans="1:10" customHeight="0">
      <c r="A4254" s="2" t="inlineStr">
        <is>
          <t>Мониторы</t>
        </is>
      </c>
      <c r="B4254" s="2" t="inlineStr">
        <is>
          <t>SAMSUNG</t>
        </is>
      </c>
      <c r="C4254" s="2" t="inlineStr">
        <is>
          <t>LS34C500GAIXCI</t>
        </is>
      </c>
      <c r="D4254" s="2" t="inlineStr">
        <is>
          <t>Монитор Samsung 34" ViewFinity S5 S34C500GAIXCI черный VA LED 21:9 полуматовая 3000:1 300cd 178гр/178гр 3440x1440 100Hz FreeSync DP Ultra WQHD 4.9кг</t>
        </is>
      </c>
      <c r="E4254" s="2" t="inlineStr">
        <is>
          <t>+++ </t>
        </is>
      </c>
      <c r="F4254" s="2" t="inlineStr">
        <is>
          <t>+++ </t>
        </is>
      </c>
      <c r="H4254" s="2">
        <v>412</v>
      </c>
      <c r="I4254" s="2" t="inlineStr">
        <is>
          <t>$</t>
        </is>
      </c>
      <c r="J4254" s="2">
        <f>HYPERLINK("https://app.astro.lead-studio.pro/product/b1dc6971-4f82-47cf-ba63-bd8b34b2e4d9")</f>
      </c>
    </row>
    <row r="4255" spans="1:10" customHeight="0">
      <c r="A4255" s="2" t="inlineStr">
        <is>
          <t>Мониторы</t>
        </is>
      </c>
      <c r="B4255" s="2" t="inlineStr">
        <is>
          <t>SAMSUNG</t>
        </is>
      </c>
      <c r="C4255" s="2" t="inlineStr">
        <is>
          <t>LS34C650UAIXCI</t>
        </is>
      </c>
      <c r="D4255" s="2" t="inlineStr">
        <is>
          <t>Монитор Samsung 34" ViewFinity S6 S34C650UAIXCI черный VA LED 5ms 21:9 HDMI M/M полуматовая 350cd 178гр/178гр 3440x1440 100Hz FreeSync DP Ultra WQHD USB 8кг</t>
        </is>
      </c>
      <c r="E4255" s="2" t="inlineStr">
        <is>
          <t>+ </t>
        </is>
      </c>
      <c r="F4255" s="2" t="inlineStr">
        <is>
          <t>+ </t>
        </is>
      </c>
      <c r="H4255" s="2">
        <v>585</v>
      </c>
      <c r="I4255" s="2" t="inlineStr">
        <is>
          <t>$</t>
        </is>
      </c>
      <c r="J4255" s="2">
        <f>HYPERLINK("https://app.astro.lead-studio.pro/product/191c63ff-13c8-4b35-817b-6db4067addf4")</f>
      </c>
    </row>
    <row r="4256" spans="1:10" customHeight="0">
      <c r="A4256" s="2" t="inlineStr">
        <is>
          <t>Мониторы</t>
        </is>
      </c>
      <c r="B4256" s="2" t="inlineStr">
        <is>
          <t>SAMSUNG</t>
        </is>
      </c>
      <c r="C4256" s="2" t="inlineStr">
        <is>
          <t>LS49CG954EIXCI</t>
        </is>
      </c>
      <c r="D4256" s="2" t="inlineStr">
        <is>
          <t>Монитор Samsung 49" Odyssey G9 S49CG954EIXCI черный VA LED 32:9 HDMI матовая HAS Piv 450cd 178гр/178гр 5120x1440 240Hz FreeSync Premium Pro DP DQ 15.6кг</t>
        </is>
      </c>
      <c r="E4256" s="2" t="inlineStr">
        <is>
          <t>+ </t>
        </is>
      </c>
      <c r="F4256" s="2" t="inlineStr">
        <is>
          <t>+ </t>
        </is>
      </c>
      <c r="H4256" s="2">
        <v>1322</v>
      </c>
      <c r="I4256" s="2" t="inlineStr">
        <is>
          <t>$</t>
        </is>
      </c>
      <c r="J4256" s="2">
        <f>HYPERLINK("https://app.astro.lead-studio.pro/product/1369fd96-100a-4d5f-a525-2bd669ff12a7")</f>
      </c>
    </row>
    <row r="4257" spans="1:10" customHeight="0">
      <c r="A4257" s="2" t="inlineStr">
        <is>
          <t>Мониторы</t>
        </is>
      </c>
      <c r="B4257" s="2" t="inlineStr">
        <is>
          <t>SAMSUNG</t>
        </is>
      </c>
      <c r="C4257" s="2" t="inlineStr">
        <is>
          <t>LS49C950UAIXCI</t>
        </is>
      </c>
      <c r="D4257" s="2" t="inlineStr">
        <is>
          <t>Монитор Samsung 49" ViewFinity S9 S49C950UAIXCI черный VA LED 32:9 HDMI M/M матовая HAS Piv 350cd 178гр/178гр 5120x1440 120Hz DP DQ USB 15.6кг</t>
        </is>
      </c>
      <c r="E4257" s="2" t="inlineStr">
        <is>
          <t>+ </t>
        </is>
      </c>
      <c r="F4257" s="2" t="inlineStr">
        <is>
          <t>+ </t>
        </is>
      </c>
      <c r="H4257" s="2">
        <v>1319</v>
      </c>
      <c r="I4257" s="2" t="inlineStr">
        <is>
          <t>$</t>
        </is>
      </c>
      <c r="J4257" s="2">
        <f>HYPERLINK("https://app.astro.lead-studio.pro/product/90688a5b-7939-4b7f-82c0-88b562302062")</f>
      </c>
    </row>
    <row r="4258" spans="1:10" customHeight="0">
      <c r="A4258" s="2" t="inlineStr">
        <is>
          <t>Мониторы</t>
        </is>
      </c>
      <c r="B4258" s="2" t="inlineStr">
        <is>
          <t>SAMSUNG</t>
        </is>
      </c>
      <c r="C4258" s="2" t="inlineStr">
        <is>
          <t>LS55CG97WNIXCI</t>
        </is>
      </c>
      <c r="D4258" s="2" t="inlineStr">
        <is>
          <t>Монитор Samsung 55" Odyssey Ark S55CG97WNI черный VA LED 16:9 HDMI M/M матовая HAS 600cd 178гр/178гр 3840x2160 165Hz FreeSync Premium Pro DP WQ USB 41.5кг</t>
        </is>
      </c>
      <c r="E4258" s="2" t="inlineStr">
        <is>
          <t>+ </t>
        </is>
      </c>
      <c r="F4258" s="2" t="inlineStr">
        <is>
          <t>+ </t>
        </is>
      </c>
      <c r="H4258" s="2">
        <v>2156</v>
      </c>
      <c r="I4258" s="2" t="inlineStr">
        <is>
          <t>$</t>
        </is>
      </c>
      <c r="J4258" s="2">
        <f>HYPERLINK("https://app.astro.lead-studio.pro/product/37386b82-dddf-4e32-b8f7-c9c8f50c2c17")</f>
      </c>
    </row>
    <row r="4259" spans="1:10" customHeight="0">
      <c r="A4259" s="2" t="inlineStr">
        <is>
          <t>Мониторы</t>
        </is>
      </c>
      <c r="B4259" s="2" t="inlineStr">
        <is>
          <t>SAMSUNG</t>
        </is>
      </c>
      <c r="C4259" s="2" t="inlineStr">
        <is>
          <t>LS57CG952NIXCI</t>
        </is>
      </c>
      <c r="D4259" s="2" t="inlineStr">
        <is>
          <t>Монитор Samsung 57" Odyssey Neo G9 S57CG952NI черный VA LED 32:9 HDMI полуматовая HAS Piv 2500:1 420cd 178гр/178гр 7680x2160 240Hz FreeSync Premium Pro DP Dual UHD USB 19кг</t>
        </is>
      </c>
      <c r="E4259" s="2" t="inlineStr">
        <is>
          <t>+ </t>
        </is>
      </c>
      <c r="F4259" s="2" t="inlineStr">
        <is>
          <t>+ </t>
        </is>
      </c>
      <c r="H4259" s="2">
        <v>2440</v>
      </c>
      <c r="I4259" s="2" t="inlineStr">
        <is>
          <t>$</t>
        </is>
      </c>
      <c r="J4259" s="2">
        <f>HYPERLINK("https://app.astro.lead-studio.pro/product/16936717-05fc-44a0-a8c0-44a9323fce2b")</f>
      </c>
    </row>
    <row r="4260" spans="1:10" customHeight="0">
      <c r="A4260" s="2" t="inlineStr">
        <is>
          <t>Мониторы</t>
        </is>
      </c>
      <c r="B4260" s="2" t="inlineStr">
        <is>
          <t>VIEWSONIC</t>
        </is>
      </c>
      <c r="C4260" s="2" t="inlineStr">
        <is>
          <t>VA3209-2K-MHD</t>
        </is>
      </c>
      <c r="D4260" s="2" t="inlineStr">
        <is>
          <t>Монитор ViewSonic 31.5" VA3209-2K-MHD черный IPS LED 4ms 16:9 HDMI M/M матовая 250cd 178гр/178гр 2560x1440 75Hz DP 2K 7.3кг</t>
        </is>
      </c>
      <c r="E4260" s="2" t="inlineStr">
        <is>
          <t>+ </t>
        </is>
      </c>
      <c r="F4260" s="2" t="inlineStr">
        <is>
          <t>+ </t>
        </is>
      </c>
      <c r="H4260" s="2">
        <v>322</v>
      </c>
      <c r="I4260" s="2" t="inlineStr">
        <is>
          <t>$</t>
        </is>
      </c>
      <c r="J4260" s="2">
        <f>HYPERLINK("https://app.astro.lead-studio.pro/product/19200711-4d5c-4579-b4b1-6d98401f1cb5")</f>
      </c>
    </row>
    <row r="4261" spans="1:10" customHeight="0">
      <c r="A4261" s="2" t="inlineStr">
        <is>
          <t>Мониторы</t>
        </is>
      </c>
      <c r="B4261" s="2" t="inlineStr">
        <is>
          <t>VIEWSONIC</t>
        </is>
      </c>
      <c r="C4261" s="2" t="inlineStr">
        <is>
          <t>VX3276-2K-MHD-2</t>
        </is>
      </c>
      <c r="D4261" s="2" t="inlineStr">
        <is>
          <t>Монитор ViewSonic 31.5" VX3276-2K-mhd-2 черный IPS LED 16:9 HDMI M/M матовая 1200:1 250cd 178гр/178гр 2560x1440 75Hz DP QHD 6.2кг</t>
        </is>
      </c>
      <c r="E4261" s="2" t="inlineStr">
        <is>
          <t>+ </t>
        </is>
      </c>
      <c r="F4261" s="2" t="inlineStr">
        <is>
          <t>+ </t>
        </is>
      </c>
      <c r="H4261" s="2">
        <v>371</v>
      </c>
      <c r="I4261" s="2" t="inlineStr">
        <is>
          <t>$</t>
        </is>
      </c>
      <c r="J4261" s="2">
        <f>HYPERLINK("https://app.astro.lead-studio.pro/product/96126d76-b120-427d-9520-d748d67158c5")</f>
      </c>
    </row>
    <row r="4262" spans="1:10" customHeight="0">
      <c r="A4262" s="2" t="inlineStr">
        <is>
          <t>Оргтехника</t>
        </is>
      </c>
      <c r="B4262" s="2" t="inlineStr">
        <is>
          <t>FELLOWES</t>
        </is>
      </c>
      <c r="C4262" s="2" t="inlineStr">
        <is>
          <t>FS-80582</t>
        </is>
      </c>
      <c r="D4262" s="2" t="inlineStr">
        <is>
          <t>Ламинатор Fellowes Amaris A3 белый (FS-80582) A3 (75-175мкм) 80см/мин (6вал.) хол.лам. лам.фото реверс</t>
        </is>
      </c>
      <c r="E4262" s="2" t="inlineStr">
        <is>
          <t>+ </t>
        </is>
      </c>
      <c r="F4262" s="2" t="inlineStr">
        <is>
          <t>+ </t>
        </is>
      </c>
      <c r="H4262" s="2">
        <v>411</v>
      </c>
      <c r="I4262" s="2" t="inlineStr">
        <is>
          <t>$</t>
        </is>
      </c>
      <c r="J4262" s="2">
        <f>HYPERLINK("https://app.astro.lead-studio.pro/product/076560cd-1700-47ed-9d1f-40579a4f718a")</f>
      </c>
    </row>
    <row r="4263" spans="1:10" customHeight="0">
      <c r="A4263" s="2" t="inlineStr">
        <is>
          <t>Оргтехника</t>
        </is>
      </c>
      <c r="B4263" s="2" t="inlineStr">
        <is>
          <t>FELLOWES</t>
        </is>
      </c>
      <c r="C4263" s="2" t="inlineStr">
        <is>
          <t>FS-57215</t>
        </is>
      </c>
      <c r="D4263" s="2" t="inlineStr">
        <is>
          <t>Ламинатор Fellowes Neptune 3 A3 (FS-57215) A3 (75-175мкм) 80см/мин (4вал.) хол.лам. лам.фото реверс</t>
        </is>
      </c>
      <c r="E4263" s="2" t="inlineStr">
        <is>
          <t>+ </t>
        </is>
      </c>
      <c r="F4263" s="2" t="inlineStr">
        <is>
          <t>+ </t>
        </is>
      </c>
      <c r="H4263" s="2">
        <v>395</v>
      </c>
      <c r="I4263" s="2" t="inlineStr">
        <is>
          <t>$</t>
        </is>
      </c>
      <c r="J4263" s="2">
        <f>HYPERLINK("https://app.astro.lead-studio.pro/product/0ca9c730-712c-4bc9-8cb2-32885fa72131")</f>
      </c>
    </row>
    <row r="4264" spans="1:10" customHeight="0">
      <c r="A4264" s="2" t="inlineStr">
        <is>
          <t>Оргтехника</t>
        </is>
      </c>
      <c r="B4264" s="2" t="inlineStr">
        <is>
          <t>FELLOWES</t>
        </is>
      </c>
      <c r="C4264" s="2" t="inlineStr">
        <is>
          <t>FS-57360</t>
        </is>
      </c>
      <c r="D4264" s="2" t="inlineStr">
        <is>
          <t>Ламинатор Fellowes Saturn 3i (FS-57360) A3 (75-125мкм) 30см/мин (2вал.) хол.лам. лам.фото</t>
        </is>
      </c>
      <c r="E4264" s="2" t="inlineStr">
        <is>
          <t>+ </t>
        </is>
      </c>
      <c r="F4264" s="2" t="inlineStr">
        <is>
          <t>+ </t>
        </is>
      </c>
      <c r="H4264" s="2">
        <v>334</v>
      </c>
      <c r="I4264" s="2" t="inlineStr">
        <is>
          <t>$</t>
        </is>
      </c>
      <c r="J4264" s="2">
        <f>HYPERLINK("https://app.astro.lead-studio.pro/product/8b1bf4f3-edbe-4522-8419-0d65f95b28cd")</f>
      </c>
    </row>
    <row r="4265" spans="1:10" customHeight="0">
      <c r="A4265" s="2" t="inlineStr">
        <is>
          <t>Оргтехника</t>
        </is>
      </c>
      <c r="B4265" s="2" t="inlineStr">
        <is>
          <t>FELLOWES</t>
        </is>
      </c>
      <c r="C4265" s="2" t="inlineStr">
        <is>
          <t>FS-56221</t>
        </is>
      </c>
      <c r="D4265" s="2" t="inlineStr">
        <is>
          <t>Переплетчик Fellowes Galaxy E (FS-56221) A4/перф.28л.сшив/макс.500л./пластик.пруж. (6-50мм)/электр.</t>
        </is>
      </c>
      <c r="E4265" s="2" t="inlineStr">
        <is>
          <t>+ </t>
        </is>
      </c>
      <c r="F4265" s="2" t="inlineStr">
        <is>
          <t>+ </t>
        </is>
      </c>
      <c r="H4265" s="2">
        <v>947</v>
      </c>
      <c r="I4265" s="2" t="inlineStr">
        <is>
          <t>$</t>
        </is>
      </c>
      <c r="J4265" s="2">
        <f>HYPERLINK("https://app.astro.lead-studio.pro/product/6bbad519-5b3e-4580-a094-d42cf31cfa3f")</f>
      </c>
    </row>
    <row r="4266" spans="1:10" customHeight="0">
      <c r="A4266" s="2" t="inlineStr">
        <is>
          <t>Оргтехника</t>
        </is>
      </c>
      <c r="B4266" s="2" t="inlineStr">
        <is>
          <t>OFFICE KIT</t>
        </is>
      </c>
      <c r="C4266" s="2" t="inlineStr">
        <is>
          <t>B2130E</t>
        </is>
      </c>
      <c r="D4266" s="2" t="inlineStr">
        <is>
          <t>Переплетчик Office Kit B2130E A4/перф.35л.сшив/макс.500л./пластик.пруж. (6-51мм)/электр.</t>
        </is>
      </c>
      <c r="E4266" s="2" t="inlineStr">
        <is>
          <t>+ </t>
        </is>
      </c>
      <c r="F4266" s="2" t="inlineStr">
        <is>
          <t>+ </t>
        </is>
      </c>
      <c r="H4266" s="2">
        <v>389</v>
      </c>
      <c r="I4266" s="2" t="inlineStr">
        <is>
          <t>$</t>
        </is>
      </c>
      <c r="J4266" s="2">
        <f>HYPERLINK("https://app.astro.lead-studio.pro/product/9b08d866-bdc1-4ad8-9e15-3c27aab02c9b")</f>
      </c>
    </row>
    <row r="4267" spans="1:10" customHeight="0">
      <c r="A4267" s="2" t="inlineStr">
        <is>
          <t>Оргтехника</t>
        </is>
      </c>
      <c r="B4267" s="2" t="inlineStr">
        <is>
          <t>RENZ</t>
        </is>
      </c>
      <c r="C4267" s="2" t="inlineStr">
        <is>
          <t>26340020</t>
        </is>
      </c>
      <c r="D4267" s="2" t="inlineStr">
        <is>
          <t>Переплетчик Renz Combi-S (26340020) A4/перф.25л.сшив/макс.500л./пластик.пруж.-51мм)</t>
        </is>
      </c>
      <c r="E4267" s="2" t="inlineStr">
        <is>
          <t>+ </t>
        </is>
      </c>
      <c r="F4267" s="2" t="inlineStr">
        <is>
          <t>+ </t>
        </is>
      </c>
      <c r="H4267" s="2">
        <v>937</v>
      </c>
      <c r="I4267" s="2" t="inlineStr">
        <is>
          <t>$</t>
        </is>
      </c>
      <c r="J4267" s="2">
        <f>HYPERLINK("https://app.astro.lead-studio.pro/product/fbdd3d6d-fb5d-486e-840c-b78da61919c3")</f>
      </c>
    </row>
    <row r="4268" spans="1:10" customHeight="0">
      <c r="A4268" s="2" t="inlineStr">
        <is>
          <t>Оргтехника</t>
        </is>
      </c>
      <c r="B4268" s="2" t="inlineStr">
        <is>
          <t>RENZ</t>
        </is>
      </c>
      <c r="C4268" s="2" t="inlineStr">
        <is>
          <t>26340000</t>
        </is>
      </c>
      <c r="D4268" s="2" t="inlineStr">
        <is>
          <t>Переплетчик Renz Combinette (26340000) A4/перф.25л.сшив/макс.500л./пластик.пруж.-51мм)</t>
        </is>
      </c>
      <c r="E4268" s="2" t="inlineStr">
        <is>
          <t>+ </t>
        </is>
      </c>
      <c r="F4268" s="2" t="inlineStr">
        <is>
          <t>+ </t>
        </is>
      </c>
      <c r="H4268" s="2">
        <v>824</v>
      </c>
      <c r="I4268" s="2" t="inlineStr">
        <is>
          <t>$</t>
        </is>
      </c>
      <c r="J4268" s="2">
        <f>HYPERLINK("https://app.astro.lead-studio.pro/product/3721fcf1-adc8-410a-a224-3309b880a6be")</f>
      </c>
    </row>
    <row r="4269" spans="1:10" customHeight="0">
      <c r="A4269" s="2" t="inlineStr">
        <is>
          <t>Оргтехника</t>
        </is>
      </c>
      <c r="B4269" s="2" t="inlineStr">
        <is>
          <t>RENZ</t>
        </is>
      </c>
      <c r="C4269" s="2" t="inlineStr">
        <is>
          <t>27310020</t>
        </is>
      </c>
      <c r="D4269" s="2" t="inlineStr">
        <is>
          <t>Переплетчик Renz SRW 360 (27310020) A4/перф.25л.сшив/макс.120л./метал.пруж. (5-14мм)</t>
        </is>
      </c>
      <c r="E4269" s="2" t="inlineStr">
        <is>
          <t>+ </t>
        </is>
      </c>
      <c r="F4269" s="2" t="inlineStr">
        <is>
          <t>+ </t>
        </is>
      </c>
      <c r="H4269" s="2">
        <v>999</v>
      </c>
      <c r="I4269" s="2" t="inlineStr">
        <is>
          <t>$</t>
        </is>
      </c>
      <c r="J4269" s="2">
        <f>HYPERLINK("https://app.astro.lead-studio.pro/product/f40e398d-a3ae-4ccf-80d7-d0825fdef3e3")</f>
      </c>
    </row>
    <row r="4270" spans="1:10" customHeight="0">
      <c r="A4270" s="2" t="inlineStr">
        <is>
          <t>Оргтехника</t>
        </is>
      </c>
      <c r="B4270" s="2" t="inlineStr">
        <is>
          <t>HUION</t>
        </is>
      </c>
      <c r="C4270" s="2" t="inlineStr">
        <is>
          <t>KAMVAS 12</t>
        </is>
      </c>
      <c r="D4270" s="2" t="inlineStr">
        <is>
          <t>Графический планшет-монитор Huion Kamvas 12 USB черный</t>
        </is>
      </c>
      <c r="E4270" s="2" t="inlineStr">
        <is>
          <t>+ </t>
        </is>
      </c>
      <c r="F4270" s="2" t="inlineStr">
        <is>
          <t>+ </t>
        </is>
      </c>
      <c r="H4270" s="2">
        <v>419</v>
      </c>
      <c r="I4270" s="2" t="inlineStr">
        <is>
          <t>$</t>
        </is>
      </c>
      <c r="J4270" s="2">
        <f>HYPERLINK("https://app.astro.lead-studio.pro/product/0cca49df-5b73-4b63-b5e5-740aba29cbd9")</f>
      </c>
    </row>
    <row r="4271" spans="1:10" customHeight="0">
      <c r="A4271" s="2" t="inlineStr">
        <is>
          <t>Оргтехника</t>
        </is>
      </c>
      <c r="B4271" s="2" t="inlineStr">
        <is>
          <t>HUION</t>
        </is>
      </c>
      <c r="C4271" s="2" t="inlineStr">
        <is>
          <t>KAMVAS 22</t>
        </is>
      </c>
      <c r="D4271" s="2" t="inlineStr">
        <is>
          <t>Графический планшет-монитор Huion Kamvas 22 USB Type-C черный</t>
        </is>
      </c>
      <c r="E4271" s="2" t="inlineStr">
        <is>
          <t>+ </t>
        </is>
      </c>
      <c r="F4271" s="2" t="inlineStr">
        <is>
          <t>+ </t>
        </is>
      </c>
      <c r="H4271" s="2">
        <v>642</v>
      </c>
      <c r="I4271" s="2" t="inlineStr">
        <is>
          <t>$</t>
        </is>
      </c>
      <c r="J4271" s="2">
        <f>HYPERLINK("https://app.astro.lead-studio.pro/product/a86d16da-2c79-47f1-a678-eb8fb67e5d2a")</f>
      </c>
    </row>
    <row r="4272" spans="1:10" customHeight="0">
      <c r="A4272" s="2" t="inlineStr">
        <is>
          <t>Оргтехника</t>
        </is>
      </c>
      <c r="B4272" s="2" t="inlineStr">
        <is>
          <t>CACTUS</t>
        </is>
      </c>
      <c r="C4272" s="2" t="inlineStr">
        <is>
          <t>CS-SH-K9</t>
        </is>
      </c>
      <c r="D4272" s="2" t="inlineStr">
        <is>
          <t>Шредер Cactus CS-SH-K9 белый (секр.P-4) фрагменты 15лист. 48лтр. скрепки скобы пл.карты</t>
        </is>
      </c>
      <c r="E4272" s="2" t="inlineStr">
        <is>
          <t>+ </t>
        </is>
      </c>
      <c r="F4272" s="2" t="inlineStr">
        <is>
          <t>+ </t>
        </is>
      </c>
      <c r="H4272" s="2">
        <v>348</v>
      </c>
      <c r="I4272" s="2" t="inlineStr">
        <is>
          <t>$</t>
        </is>
      </c>
      <c r="J4272" s="2">
        <f>HYPERLINK("https://app.astro.lead-studio.pro/product/e8c927ba-0d35-4dfe-8cfa-0a2ced2a4767")</f>
      </c>
    </row>
    <row r="4273" spans="1:10" customHeight="0">
      <c r="A4273" s="2" t="inlineStr">
        <is>
          <t>Оргтехника</t>
        </is>
      </c>
      <c r="B4273" s="2" t="inlineStr">
        <is>
          <t>FELLOWES</t>
        </is>
      </c>
      <c r="C4273" s="2" t="inlineStr">
        <is>
          <t>FS-46801</t>
        </is>
      </c>
      <c r="D4273" s="2" t="inlineStr">
        <is>
          <t>Шредер Fellowes AutoMax 150C с автоподачей (секр.P-4) фрагменты 150лист. 32лтр. скрепки скобы пл.карты CD</t>
        </is>
      </c>
      <c r="E4273" s="2" t="inlineStr">
        <is>
          <t>+ </t>
        </is>
      </c>
      <c r="F4273" s="2" t="inlineStr">
        <is>
          <t>+ </t>
        </is>
      </c>
      <c r="H4273" s="2">
        <v>604</v>
      </c>
      <c r="I4273" s="2" t="inlineStr">
        <is>
          <t>$</t>
        </is>
      </c>
      <c r="J4273" s="2">
        <f>HYPERLINK("https://app.astro.lead-studio.pro/product/b693de2d-8460-4729-8ec4-a3e48f3269aa")</f>
      </c>
    </row>
    <row r="4274" spans="1:10" customHeight="0">
      <c r="A4274" s="2" t="inlineStr">
        <is>
          <t>Оргтехника</t>
        </is>
      </c>
      <c r="B4274" s="2" t="inlineStr">
        <is>
          <t>FELLOWES</t>
        </is>
      </c>
      <c r="C4274" s="2" t="inlineStr">
        <is>
          <t>FS-46563</t>
        </is>
      </c>
      <c r="D4274" s="2" t="inlineStr">
        <is>
          <t>Шредер Fellowes AutoMax 200M с автоподачей (секр.P-5) фрагменты 200лист. 32лтр. скобы пл.карты</t>
        </is>
      </c>
      <c r="E4274" s="2" t="inlineStr">
        <is>
          <t>+ </t>
        </is>
      </c>
      <c r="F4274" s="2" t="inlineStr">
        <is>
          <t>+ </t>
        </is>
      </c>
      <c r="H4274" s="2">
        <v>1078</v>
      </c>
      <c r="I4274" s="2" t="inlineStr">
        <is>
          <t>$</t>
        </is>
      </c>
      <c r="J4274" s="2">
        <f>HYPERLINK("https://app.astro.lead-studio.pro/product/0c37dbdc-9bb5-4e9b-b0f3-618bf25270a7")</f>
      </c>
    </row>
    <row r="4275" spans="1:10" customHeight="0">
      <c r="A4275" s="2" t="inlineStr">
        <is>
          <t>Оргтехника</t>
        </is>
      </c>
      <c r="B4275" s="2" t="inlineStr">
        <is>
          <t>FELLOWES</t>
        </is>
      </c>
      <c r="C4275" s="2" t="inlineStr">
        <is>
          <t>FS-46750</t>
        </is>
      </c>
      <c r="D4275" s="2" t="inlineStr">
        <is>
          <t>Шредер Fellowes PowerShred 75Cs (секр.P-4) фрагменты 12лист. 27лтр. скрепки скобы пл.карты CD</t>
        </is>
      </c>
      <c r="E4275" s="2" t="inlineStr">
        <is>
          <t>+ </t>
        </is>
      </c>
      <c r="F4275" s="2" t="inlineStr">
        <is>
          <t>+ </t>
        </is>
      </c>
      <c r="H4275" s="2">
        <v>406</v>
      </c>
      <c r="I4275" s="2" t="inlineStr">
        <is>
          <t>$</t>
        </is>
      </c>
      <c r="J4275" s="2">
        <f>HYPERLINK("https://app.astro.lead-studio.pro/product/0c6f3ed7-f0c5-4fd9-86c5-822309d4b487")</f>
      </c>
    </row>
    <row r="4276" spans="1:10" customHeight="0">
      <c r="A4276" s="2" t="inlineStr">
        <is>
          <t>Оргтехника</t>
        </is>
      </c>
      <c r="B4276" s="2" t="inlineStr">
        <is>
          <t>FELLOWES</t>
        </is>
      </c>
      <c r="C4276" s="2" t="inlineStr">
        <is>
          <t>FS-46790</t>
        </is>
      </c>
      <c r="D4276" s="2" t="inlineStr">
        <is>
          <t>Шредер Fellowes PowerShred 79Ci (секр.P-4) фрагменты 16лист. 23лтр. скрепки скобы пл.карты CD</t>
        </is>
      </c>
      <c r="E4276" s="2" t="inlineStr">
        <is>
          <t>+ </t>
        </is>
      </c>
      <c r="F4276" s="2" t="inlineStr">
        <is>
          <t>+ </t>
        </is>
      </c>
      <c r="H4276" s="2">
        <v>612</v>
      </c>
      <c r="I4276" s="2" t="inlineStr">
        <is>
          <t>$</t>
        </is>
      </c>
      <c r="J4276" s="2">
        <f>HYPERLINK("https://app.astro.lead-studio.pro/product/fd8fc0bc-826c-42bc-9346-da52fe64af00")</f>
      </c>
    </row>
    <row r="4277" spans="1:10" customHeight="0">
      <c r="A4277" s="2" t="inlineStr">
        <is>
          <t>Оргтехника</t>
        </is>
      </c>
      <c r="B4277" s="2" t="inlineStr">
        <is>
          <t>FELLOWES</t>
        </is>
      </c>
      <c r="C4277" s="2" t="inlineStr">
        <is>
          <t>FS-17193</t>
        </is>
      </c>
      <c r="D4277" s="2" t="inlineStr">
        <is>
          <t>Шредер Fellowes PowerShred 92Cs (секр.P-4) фрагменты 18лист. 25лтр. скрепки скобы пл.карты CD</t>
        </is>
      </c>
      <c r="E4277" s="2" t="inlineStr">
        <is>
          <t>+ </t>
        </is>
      </c>
      <c r="F4277" s="2" t="inlineStr">
        <is>
          <t>+ </t>
        </is>
      </c>
      <c r="H4277" s="2">
        <v>598</v>
      </c>
      <c r="I4277" s="2" t="inlineStr">
        <is>
          <t>$</t>
        </is>
      </c>
      <c r="J4277" s="2">
        <f>HYPERLINK("https://app.astro.lead-studio.pro/product/99a8aa70-c116-43d7-a2fc-4b0417ab392b")</f>
      </c>
    </row>
    <row r="4278" spans="1:10" customHeight="0">
      <c r="A4278" s="2" t="inlineStr">
        <is>
          <t>Оргтехника</t>
        </is>
      </c>
      <c r="B4278" s="2" t="inlineStr">
        <is>
          <t>FELLOWES</t>
        </is>
      </c>
      <c r="C4278" s="2" t="inlineStr">
        <is>
          <t>FS-55022</t>
        </is>
      </c>
      <c r="D4278" s="2" t="inlineStr">
        <is>
          <t>Шредер Fellowes PowerShred LX200 черный (секр.P-4) фрагменты 12лист. 22лтр. скрепки скобы пл.карты</t>
        </is>
      </c>
      <c r="E4278" s="2" t="inlineStr">
        <is>
          <t>+ </t>
        </is>
      </c>
      <c r="F4278" s="2" t="inlineStr">
        <is>
          <t>+ </t>
        </is>
      </c>
      <c r="H4278" s="2">
        <v>465</v>
      </c>
      <c r="I4278" s="2" t="inlineStr">
        <is>
          <t>$</t>
        </is>
      </c>
      <c r="J4278" s="2">
        <f>HYPERLINK("https://app.astro.lead-studio.pro/product/a216852e-b77d-49c7-911e-3e8691edb97b")</f>
      </c>
    </row>
    <row r="4279" spans="1:10" customHeight="0">
      <c r="A4279" s="2" t="inlineStr">
        <is>
          <t>Оргтехника</t>
        </is>
      </c>
      <c r="B4279" s="2" t="inlineStr">
        <is>
          <t>FELLOWES</t>
        </is>
      </c>
      <c r="C4279" s="2" t="inlineStr">
        <is>
          <t>FS-50500</t>
        </is>
      </c>
      <c r="D4279" s="2" t="inlineStr">
        <is>
          <t>Шредер Fellowes PowerShred LX201 черный (секр.P-5) фрагменты 12лист. 22лтр. скрепки скобы пл.карты</t>
        </is>
      </c>
      <c r="E4279" s="2" t="inlineStr">
        <is>
          <t>+ </t>
        </is>
      </c>
      <c r="F4279" s="2" t="inlineStr">
        <is>
          <t>+ </t>
        </is>
      </c>
      <c r="H4279" s="2">
        <v>458</v>
      </c>
      <c r="I4279" s="2" t="inlineStr">
        <is>
          <t>$</t>
        </is>
      </c>
      <c r="J4279" s="2">
        <f>HYPERLINK("https://app.astro.lead-studio.pro/product/242a6873-448c-4de6-abcc-ce37235b9092")</f>
      </c>
    </row>
    <row r="4280" spans="1:10" customHeight="0">
      <c r="A4280" s="2" t="inlineStr">
        <is>
          <t>Оргтехника</t>
        </is>
      </c>
      <c r="B4280" s="2" t="inlineStr">
        <is>
          <t>FELLOWES</t>
        </is>
      </c>
      <c r="C4280" s="2" t="inlineStr">
        <is>
          <t>FS-55025</t>
        </is>
      </c>
      <c r="D4280" s="2" t="inlineStr">
        <is>
          <t>Шредер Fellowes PowerShred LX210 черный (секр.P-4) фрагменты 16лист. 23лтр. скрепки скобы пл.карты</t>
        </is>
      </c>
      <c r="E4280" s="2" t="inlineStr">
        <is>
          <t>+ </t>
        </is>
      </c>
      <c r="F4280" s="2" t="inlineStr">
        <is>
          <t>+ </t>
        </is>
      </c>
      <c r="H4280" s="2">
        <v>571</v>
      </c>
      <c r="I4280" s="2" t="inlineStr">
        <is>
          <t>$</t>
        </is>
      </c>
      <c r="J4280" s="2">
        <f>HYPERLINK("https://app.astro.lead-studio.pro/product/28f5936a-905c-4c2b-91d9-1586630b5178")</f>
      </c>
    </row>
    <row r="4281" spans="1:10" customHeight="0">
      <c r="A4281" s="2" t="inlineStr">
        <is>
          <t>Оргтехника</t>
        </is>
      </c>
      <c r="B4281" s="2" t="inlineStr">
        <is>
          <t>FELLOWES</t>
        </is>
      </c>
      <c r="C4281" s="2" t="inlineStr">
        <is>
          <t>FS-50502</t>
        </is>
      </c>
      <c r="D4281" s="2" t="inlineStr">
        <is>
          <t>Шредер Fellowes PowerShred LX211 черный (секр.P-5) фрагменты 15лист. 23лтр. скрепки скобы пл.карты</t>
        </is>
      </c>
      <c r="E4281" s="2" t="inlineStr">
        <is>
          <t>+ </t>
        </is>
      </c>
      <c r="F4281" s="2" t="inlineStr">
        <is>
          <t>+ </t>
        </is>
      </c>
      <c r="H4281" s="2">
        <v>675</v>
      </c>
      <c r="I4281" s="2" t="inlineStr">
        <is>
          <t>$</t>
        </is>
      </c>
      <c r="J4281" s="2">
        <f>HYPERLINK("https://app.astro.lead-studio.pro/product/8a11fb08-61e0-4b30-bc54-57da16eb5246")</f>
      </c>
    </row>
    <row r="4282" spans="1:10" customHeight="0">
      <c r="A4282" s="2" t="inlineStr">
        <is>
          <t>Оргтехника</t>
        </is>
      </c>
      <c r="B4282" s="2" t="inlineStr">
        <is>
          <t>FELLOWES</t>
        </is>
      </c>
      <c r="C4282" s="2" t="inlineStr">
        <is>
          <t>FS-55026</t>
        </is>
      </c>
      <c r="D4282" s="2" t="inlineStr">
        <is>
          <t>Шредер Fellowes PowerShred LX220 черный (секр.P-4) фрагменты 20лист. 30лтр. скрепки скобы пл.карты</t>
        </is>
      </c>
      <c r="E4282" s="2" t="inlineStr">
        <is>
          <t>+ </t>
        </is>
      </c>
      <c r="F4282" s="2" t="inlineStr">
        <is>
          <t>+ </t>
        </is>
      </c>
      <c r="H4282" s="2">
        <v>687</v>
      </c>
      <c r="I4282" s="2" t="inlineStr">
        <is>
          <t>$</t>
        </is>
      </c>
      <c r="J4282" s="2">
        <f>HYPERLINK("https://app.astro.lead-studio.pro/product/847bbc61-49b6-452c-9a9d-38ced81cda4c")</f>
      </c>
    </row>
    <row r="4283" spans="1:10" customHeight="0">
      <c r="A4283" s="2" t="inlineStr">
        <is>
          <t>Оргтехника</t>
        </is>
      </c>
      <c r="B4283" s="2" t="inlineStr">
        <is>
          <t>FELLOWES</t>
        </is>
      </c>
      <c r="C4283" s="2" t="inlineStr">
        <is>
          <t>FS-44008</t>
        </is>
      </c>
      <c r="D4283" s="2" t="inlineStr">
        <is>
          <t>Шредер Fellowes PowerShred LX85 черный (секр.P-4) фрагменты 12лист. 19лтр. скрепки скобы пл.карты</t>
        </is>
      </c>
      <c r="E4283" s="2" t="inlineStr">
        <is>
          <t>+ </t>
        </is>
      </c>
      <c r="F4283" s="2" t="inlineStr">
        <is>
          <t>+ </t>
        </is>
      </c>
      <c r="H4283" s="2">
        <v>337</v>
      </c>
      <c r="I4283" s="2" t="inlineStr">
        <is>
          <t>$</t>
        </is>
      </c>
      <c r="J4283" s="2">
        <f>HYPERLINK("https://app.astro.lead-studio.pro/product/01f571ed-42dc-440e-a7bf-ec5985c34038")</f>
      </c>
    </row>
    <row r="4284" spans="1:10" customHeight="0">
      <c r="A4284" s="2" t="inlineStr">
        <is>
          <t>Оргтехника</t>
        </is>
      </c>
      <c r="B4284" s="2" t="inlineStr">
        <is>
          <t>HELEOS</t>
        </is>
      </c>
      <c r="C4284" s="2" t="inlineStr">
        <is>
          <t>АП23-5</t>
        </is>
      </c>
      <c r="D4284" s="2" t="inlineStr">
        <is>
          <t>Шредер Heleos АП23-5 серый/серебристый с автоподачей (секр.P-5) фрагменты 145лист. 23лтр. скрепки скобы пл.карты</t>
        </is>
      </c>
      <c r="E4284" s="2" t="inlineStr">
        <is>
          <t>+ </t>
        </is>
      </c>
      <c r="F4284" s="2" t="inlineStr">
        <is>
          <t>+ </t>
        </is>
      </c>
      <c r="H4284" s="2">
        <v>338</v>
      </c>
      <c r="I4284" s="2" t="inlineStr">
        <is>
          <t>$</t>
        </is>
      </c>
      <c r="J4284" s="2">
        <f>HYPERLINK("https://app.astro.lead-studio.pro/product/7bb72537-44bf-4c1a-8a88-a5bc6a3fe358")</f>
      </c>
    </row>
    <row r="4285" spans="1:10" customHeight="0">
      <c r="A4285" s="2" t="inlineStr">
        <is>
          <t>Оргтехника</t>
        </is>
      </c>
      <c r="B4285" s="2" t="inlineStr">
        <is>
          <t>HELEOS</t>
        </is>
      </c>
      <c r="C4285" s="2" t="inlineStr">
        <is>
          <t>АП37-4</t>
        </is>
      </c>
      <c r="D4285" s="2" t="inlineStr">
        <is>
          <t>Шредер Heleos АП37-4 черный/серебристый с автоподачей (секр.P-4) фрагменты 220лист. 37лтр. скрепки скобы пл.карты</t>
        </is>
      </c>
      <c r="E4285" s="2" t="inlineStr">
        <is>
          <t>+ </t>
        </is>
      </c>
      <c r="F4285" s="2" t="inlineStr">
        <is>
          <t>+ </t>
        </is>
      </c>
      <c r="H4285" s="2">
        <v>502</v>
      </c>
      <c r="I4285" s="2" t="inlineStr">
        <is>
          <t>$</t>
        </is>
      </c>
      <c r="J4285" s="2">
        <f>HYPERLINK("https://app.astro.lead-studio.pro/product/8a1b112e-ecbb-47aa-9622-ffcb0991585e")</f>
      </c>
    </row>
    <row r="4286" spans="1:10" customHeight="0">
      <c r="A4286" s="2" t="inlineStr">
        <is>
          <t>Оргтехника</t>
        </is>
      </c>
      <c r="B4286" s="2" t="inlineStr">
        <is>
          <t>HELEOS</t>
        </is>
      </c>
      <c r="C4286" s="2" t="inlineStr">
        <is>
          <t>АП37-5</t>
        </is>
      </c>
      <c r="D4286" s="2" t="inlineStr">
        <is>
          <t>Шредер Heleos АП37-5 белый/белый с автоподачей (секр.P-5) фрагменты 220лист. 37лтр. скрепки скобы пл.карты</t>
        </is>
      </c>
      <c r="E4286" s="2" t="inlineStr">
        <is>
          <t>+ </t>
        </is>
      </c>
      <c r="F4286" s="2" t="inlineStr">
        <is>
          <t>+ </t>
        </is>
      </c>
      <c r="H4286" s="2">
        <v>619</v>
      </c>
      <c r="I4286" s="2" t="inlineStr">
        <is>
          <t>$</t>
        </is>
      </c>
      <c r="J4286" s="2">
        <f>HYPERLINK("https://app.astro.lead-studio.pro/product/3b2f900a-4f11-4951-bcf1-083b29b06b8e")</f>
      </c>
    </row>
    <row r="4287" spans="1:10" customHeight="0">
      <c r="A4287" s="2" t="inlineStr">
        <is>
          <t>Оргтехника</t>
        </is>
      </c>
      <c r="B4287" s="2" t="inlineStr">
        <is>
          <t>HELEOS</t>
        </is>
      </c>
      <c r="C4287" s="2" t="inlineStr">
        <is>
          <t>АП40</t>
        </is>
      </c>
      <c r="D4287" s="2" t="inlineStr">
        <is>
          <t>Шредер Heleos АП40 черный с автоподачей (секр.P-4) фрагменты 150лист. 37лтр. скрепки скобы пл.карты</t>
        </is>
      </c>
      <c r="E4287" s="2" t="inlineStr">
        <is>
          <t>+ </t>
        </is>
      </c>
      <c r="F4287" s="2" t="inlineStr">
        <is>
          <t>+ </t>
        </is>
      </c>
      <c r="H4287" s="2">
        <v>418</v>
      </c>
      <c r="I4287" s="2" t="inlineStr">
        <is>
          <t>$</t>
        </is>
      </c>
      <c r="J4287" s="2">
        <f>HYPERLINK("https://app.astro.lead-studio.pro/product/0f1f7279-0a28-4115-bd84-59331df03441")</f>
      </c>
    </row>
    <row r="4288" spans="1:10" customHeight="0">
      <c r="A4288" s="2" t="inlineStr">
        <is>
          <t>Оргтехника</t>
        </is>
      </c>
      <c r="B4288" s="2" t="inlineStr">
        <is>
          <t>HELEOS</t>
        </is>
      </c>
      <c r="C4288" s="2" t="inlineStr">
        <is>
          <t>АП55-5</t>
        </is>
      </c>
      <c r="D4288" s="2" t="inlineStr">
        <is>
          <t>Шредер Heleos АП55-5 белый с автоподачей (секр.P-5) фрагменты 13лист. 55лтр. скрепки скобы пл.карты CD</t>
        </is>
      </c>
      <c r="E4288" s="2" t="inlineStr">
        <is>
          <t>+ </t>
        </is>
      </c>
      <c r="F4288" s="2" t="inlineStr">
        <is>
          <t>+ </t>
        </is>
      </c>
      <c r="H4288" s="2">
        <v>834</v>
      </c>
      <c r="I4288" s="2" t="inlineStr">
        <is>
          <t>$</t>
        </is>
      </c>
      <c r="J4288" s="2">
        <f>HYPERLINK("https://app.astro.lead-studio.pro/product/e895e964-c8fb-46e6-80a8-f01767de822e")</f>
      </c>
    </row>
    <row r="4289" spans="1:10" customHeight="0">
      <c r="A4289" s="2" t="inlineStr">
        <is>
          <t>Оргтехника</t>
        </is>
      </c>
      <c r="B4289" s="2" t="inlineStr">
        <is>
          <t>HELEOS</t>
        </is>
      </c>
      <c r="C4289" s="2" t="inlineStr">
        <is>
          <t>УА92-7+</t>
        </is>
      </c>
      <c r="D4289" s="2" t="inlineStr">
        <is>
          <t>Шредер Heleos УА92-7+ черный/серебристый (секр.P-7) фрагменты 5лист. 92лтр.</t>
        </is>
      </c>
      <c r="E4289" s="2" t="inlineStr">
        <is>
          <t>+ </t>
        </is>
      </c>
      <c r="F4289" s="2" t="inlineStr">
        <is>
          <t>+ </t>
        </is>
      </c>
      <c r="H4289" s="2">
        <v>1343</v>
      </c>
      <c r="I4289" s="2" t="inlineStr">
        <is>
          <t>$</t>
        </is>
      </c>
      <c r="J4289" s="2">
        <f>HYPERLINK("https://app.astro.lead-studio.pro/product/0aa74e1a-81d6-4f8c-8744-abd1d62eaa87")</f>
      </c>
    </row>
    <row r="4290" spans="1:10" customHeight="0">
      <c r="A4290" s="2" t="inlineStr">
        <is>
          <t>Оргтехника</t>
        </is>
      </c>
      <c r="B4290" s="2" t="inlineStr">
        <is>
          <t>HELEOS</t>
        </is>
      </c>
      <c r="C4290" s="2" t="inlineStr">
        <is>
          <t>УМ35-5</t>
        </is>
      </c>
      <c r="D4290" s="2" t="inlineStr">
        <is>
          <t>Шредер Heleos УМ35-5 черный/серебристый (секр.P-5) фрагменты 23лист. 35лтр. скрепки скобы пл.карты CD</t>
        </is>
      </c>
      <c r="E4290" s="2" t="inlineStr">
        <is>
          <t>+ </t>
        </is>
      </c>
      <c r="F4290" s="2" t="inlineStr">
        <is>
          <t>+ </t>
        </is>
      </c>
      <c r="H4290" s="2">
        <v>448</v>
      </c>
      <c r="I4290" s="2" t="inlineStr">
        <is>
          <t>$</t>
        </is>
      </c>
      <c r="J4290" s="2">
        <f>HYPERLINK("https://app.astro.lead-studio.pro/product/45157469-931b-4452-9714-a8180f0a2e49")</f>
      </c>
    </row>
    <row r="4291" spans="1:10" customHeight="0">
      <c r="A4291" s="2" t="inlineStr">
        <is>
          <t>Оргтехника</t>
        </is>
      </c>
      <c r="B4291" s="2" t="inlineStr">
        <is>
          <t>HELEOS</t>
        </is>
      </c>
      <c r="C4291" s="2" t="inlineStr">
        <is>
          <t>УМ42-4</t>
        </is>
      </c>
      <c r="D4291" s="2" t="inlineStr">
        <is>
          <t>Шредер Heleos УМ42-4 черный (секр.P-4) фрагменты 19лист. 42лтр. скрепки скобы пл.карты CD</t>
        </is>
      </c>
      <c r="E4291" s="2" t="inlineStr">
        <is>
          <t>+ </t>
        </is>
      </c>
      <c r="F4291" s="2" t="inlineStr">
        <is>
          <t>+ </t>
        </is>
      </c>
      <c r="H4291" s="2">
        <v>334</v>
      </c>
      <c r="I4291" s="2" t="inlineStr">
        <is>
          <t>$</t>
        </is>
      </c>
      <c r="J4291" s="2">
        <f>HYPERLINK("https://app.astro.lead-studio.pro/product/6d5330ca-2d1f-49a6-a4c2-ee3495b94797")</f>
      </c>
    </row>
    <row r="4292" spans="1:10" customHeight="0">
      <c r="A4292" s="2" t="inlineStr">
        <is>
          <t>Оргтехника</t>
        </is>
      </c>
      <c r="B4292" s="2" t="inlineStr">
        <is>
          <t>HELEOS</t>
        </is>
      </c>
      <c r="C4292" s="2" t="inlineStr">
        <is>
          <t>УО36-4</t>
        </is>
      </c>
      <c r="D4292" s="2" t="inlineStr">
        <is>
          <t>Шредер Heleos УО36-4 черный/серебристый (секр.P-4) фрагменты 29лист. 36лтр. скрепки пл.карты CD</t>
        </is>
      </c>
      <c r="E4292" s="2" t="inlineStr">
        <is>
          <t>+ </t>
        </is>
      </c>
      <c r="F4292" s="2" t="inlineStr">
        <is>
          <t>+ </t>
        </is>
      </c>
      <c r="H4292" s="2">
        <v>414</v>
      </c>
      <c r="I4292" s="2" t="inlineStr">
        <is>
          <t>$</t>
        </is>
      </c>
      <c r="J4292" s="2">
        <f>HYPERLINK("https://app.astro.lead-studio.pro/product/34c7c8a9-561e-4e2e-a4b8-bd4fb1a76271")</f>
      </c>
    </row>
    <row r="4293" spans="1:10" customHeight="0">
      <c r="A4293" s="2" t="inlineStr">
        <is>
          <t>Оргтехника</t>
        </is>
      </c>
      <c r="B4293" s="2" t="inlineStr">
        <is>
          <t>HELEOS</t>
        </is>
      </c>
      <c r="C4293" s="2" t="inlineStr">
        <is>
          <t>УО38-7</t>
        </is>
      </c>
      <c r="D4293" s="2" t="inlineStr">
        <is>
          <t>Шредер Heleos УО38-7 серый/черный (секр.P-7) фрагменты 5лист. 38лтр.</t>
        </is>
      </c>
      <c r="E4293" s="2" t="inlineStr">
        <is>
          <t>+ </t>
        </is>
      </c>
      <c r="F4293" s="2" t="inlineStr">
        <is>
          <t>+ </t>
        </is>
      </c>
      <c r="H4293" s="2">
        <v>643</v>
      </c>
      <c r="I4293" s="2" t="inlineStr">
        <is>
          <t>$</t>
        </is>
      </c>
      <c r="J4293" s="2">
        <f>HYPERLINK("https://app.astro.lead-studio.pro/product/c6ea624e-8b37-499d-9b9e-e7d2846c06e2")</f>
      </c>
    </row>
    <row r="4294" spans="1:10" customHeight="0">
      <c r="A4294" s="2" t="inlineStr">
        <is>
          <t>Оргтехника</t>
        </is>
      </c>
      <c r="B4294" s="2" t="inlineStr">
        <is>
          <t>HELEOS</t>
        </is>
      </c>
      <c r="C4294" s="2" t="inlineStr">
        <is>
          <t>УО55-7</t>
        </is>
      </c>
      <c r="D4294" s="2" t="inlineStr">
        <is>
          <t>Шредер Heleos УО55-7 черный (секр.P-7) фрагменты 7лист. 55лтр.</t>
        </is>
      </c>
      <c r="E4294" s="2" t="inlineStr">
        <is>
          <t>+ </t>
        </is>
      </c>
      <c r="F4294" s="2" t="inlineStr">
        <is>
          <t>+ </t>
        </is>
      </c>
      <c r="H4294" s="2">
        <v>963</v>
      </c>
      <c r="I4294" s="2" t="inlineStr">
        <is>
          <t>$</t>
        </is>
      </c>
      <c r="J4294" s="2">
        <f>HYPERLINK("https://app.astro.lead-studio.pro/product/8a7f6e00-cda1-4163-b220-6c19d16f0492")</f>
      </c>
    </row>
    <row r="4295" spans="1:10" customHeight="0">
      <c r="A4295" s="2" t="inlineStr">
        <is>
          <t>Оргтехника</t>
        </is>
      </c>
      <c r="B4295" s="2" t="inlineStr">
        <is>
          <t>HELEOS</t>
        </is>
      </c>
      <c r="C4295" s="2" t="inlineStr">
        <is>
          <t>УП26-7</t>
        </is>
      </c>
      <c r="D4295" s="2" t="inlineStr">
        <is>
          <t>Шредер Heleos УП26-7 серый (секр.P-7) фрагменты 5лист. 26лтр. пл.карты CD</t>
        </is>
      </c>
      <c r="E4295" s="2" t="inlineStr">
        <is>
          <t>+ </t>
        </is>
      </c>
      <c r="F4295" s="2" t="inlineStr">
        <is>
          <t>+ </t>
        </is>
      </c>
      <c r="H4295" s="2">
        <v>505</v>
      </c>
      <c r="I4295" s="2" t="inlineStr">
        <is>
          <t>$</t>
        </is>
      </c>
      <c r="J4295" s="2">
        <f>HYPERLINK("https://app.astro.lead-studio.pro/product/c71c31de-b4fb-4dde-b892-5df9ffb8d718")</f>
      </c>
    </row>
    <row r="4296" spans="1:10" customHeight="0">
      <c r="A4296" s="2" t="inlineStr">
        <is>
          <t>Оргтехника</t>
        </is>
      </c>
      <c r="B4296" s="2" t="inlineStr">
        <is>
          <t>HELEOS</t>
        </is>
      </c>
      <c r="C4296" s="2" t="inlineStr">
        <is>
          <t>УП26-7+</t>
        </is>
      </c>
      <c r="D4296" s="2" t="inlineStr">
        <is>
          <t>Шредер Heleos УП26-7+ серый (секр.P-7) фрагменты 6лист. 26лтр. пл.карты CD</t>
        </is>
      </c>
      <c r="E4296" s="2" t="inlineStr">
        <is>
          <t>+ </t>
        </is>
      </c>
      <c r="F4296" s="2" t="inlineStr">
        <is>
          <t>+ </t>
        </is>
      </c>
      <c r="H4296" s="2">
        <v>537</v>
      </c>
      <c r="I4296" s="2" t="inlineStr">
        <is>
          <t>$</t>
        </is>
      </c>
      <c r="J4296" s="2">
        <f>HYPERLINK("https://app.astro.lead-studio.pro/product/cacf381c-e088-44fa-80b8-2760c1057225")</f>
      </c>
    </row>
    <row r="4297" spans="1:10" customHeight="0">
      <c r="A4297" s="2" t="inlineStr">
        <is>
          <t>Оргтехника</t>
        </is>
      </c>
      <c r="B4297" s="2" t="inlineStr">
        <is>
          <t>HSM</t>
        </is>
      </c>
      <c r="C4297" s="2" t="inlineStr">
        <is>
          <t>1832121</t>
        </is>
      </c>
      <c r="D4297" s="2" t="inlineStr">
        <is>
          <t>Шредер HSM Securio B22-1.9x15 фрагменты 11лист. 33лтр. скрепки скобы пл.карты</t>
        </is>
      </c>
      <c r="E4297" s="2" t="inlineStr">
        <is>
          <t>+ </t>
        </is>
      </c>
      <c r="F4297" s="2" t="inlineStr">
        <is>
          <t>+ </t>
        </is>
      </c>
      <c r="H4297" s="2">
        <v>970</v>
      </c>
      <c r="I4297" s="2" t="inlineStr">
        <is>
          <t>$</t>
        </is>
      </c>
      <c r="J4297" s="2">
        <f>HYPERLINK("https://app.astro.lead-studio.pro/product/77d8a6e6-1356-4b0f-98dd-d5a221bfe63a")</f>
      </c>
    </row>
    <row r="4298" spans="1:10" customHeight="0">
      <c r="A4298" s="2" t="inlineStr">
        <is>
          <t>Оргтехника</t>
        </is>
      </c>
      <c r="B4298" s="2" t="inlineStr">
        <is>
          <t>KOBRA</t>
        </is>
      </c>
      <c r="C4298" s="2" t="inlineStr">
        <is>
          <t>+1 CC4 E/S</t>
        </is>
      </c>
      <c r="D4298" s="2" t="inlineStr">
        <is>
          <t>Шредер Kobra +1 CC4 E/S (секр.P-4) фрагменты 14лист. 38.5лтр. скрепки скобы пл.карты</t>
        </is>
      </c>
      <c r="E4298" s="2" t="inlineStr">
        <is>
          <t>+ </t>
        </is>
      </c>
      <c r="F4298" s="2" t="inlineStr">
        <is>
          <t>+ </t>
        </is>
      </c>
      <c r="H4298" s="2">
        <v>355</v>
      </c>
      <c r="I4298" s="2" t="inlineStr">
        <is>
          <t>$</t>
        </is>
      </c>
      <c r="J4298" s="2">
        <f>HYPERLINK("https://app.astro.lead-studio.pro/product/197c0b39-13bd-4a88-a015-fae1e0588bf0")</f>
      </c>
    </row>
    <row r="4299" spans="1:10" customHeight="0">
      <c r="A4299" s="2" t="inlineStr">
        <is>
          <t>Оргтехника</t>
        </is>
      </c>
      <c r="B4299" s="2" t="inlineStr">
        <is>
          <t>KOBRA</t>
        </is>
      </c>
      <c r="C4299" s="2" t="inlineStr">
        <is>
          <t>99.731E/S</t>
        </is>
      </c>
      <c r="D4299" s="2" t="inlineStr">
        <is>
          <t>Шредер Kobra 240 C2 Turbo E/S белый (секр.P-5) фрагменты 17лист. 35лтр. скрепки скобы пл.карты CD</t>
        </is>
      </c>
      <c r="E4299" s="2" t="inlineStr">
        <is>
          <t>+ </t>
        </is>
      </c>
      <c r="F4299" s="2" t="inlineStr">
        <is>
          <t>+ </t>
        </is>
      </c>
      <c r="H4299" s="2">
        <v>874</v>
      </c>
      <c r="I4299" s="2" t="inlineStr">
        <is>
          <t>$</t>
        </is>
      </c>
      <c r="J4299" s="2">
        <f>HYPERLINK("https://app.astro.lead-studio.pro/product/bbd6865b-fc98-4a93-ac89-6666f4a4cb85")</f>
      </c>
    </row>
    <row r="4300" spans="1:10" customHeight="0">
      <c r="A4300" s="2" t="inlineStr">
        <is>
          <t>Оргтехника</t>
        </is>
      </c>
      <c r="B4300" s="2" t="inlineStr">
        <is>
          <t>KOBRA</t>
        </is>
      </c>
      <c r="C4300" s="2" t="inlineStr">
        <is>
          <t>AF+1 40 LT E/S</t>
        </is>
      </c>
      <c r="D4300" s="2" t="inlineStr">
        <is>
          <t>Шредер Kobra AF+1 40 LT E/S (секр.P-4) фрагменты 350лист. 40лтр. скрепки скобы пл.карты</t>
        </is>
      </c>
      <c r="E4300" s="2" t="inlineStr">
        <is>
          <t>+ </t>
        </is>
      </c>
      <c r="F4300" s="2" t="inlineStr">
        <is>
          <t>+ </t>
        </is>
      </c>
      <c r="H4300" s="2">
        <v>984</v>
      </c>
      <c r="I4300" s="2" t="inlineStr">
        <is>
          <t>$</t>
        </is>
      </c>
      <c r="J4300" s="2">
        <f>HYPERLINK("https://app.astro.lead-studio.pro/product/f208c09f-4e42-4b3d-9525-bcaa2e5f73bf")</f>
      </c>
    </row>
    <row r="4301" spans="1:10" customHeight="0">
      <c r="A4301" s="2" t="inlineStr">
        <is>
          <t>Оргтехника</t>
        </is>
      </c>
      <c r="B4301" s="2" t="inlineStr">
        <is>
          <t>KOBRA</t>
        </is>
      </c>
      <c r="C4301" s="2" t="inlineStr">
        <is>
          <t>99.953</t>
        </is>
      </c>
      <c r="D4301" s="2" t="inlineStr">
        <is>
          <t>Шредер Kobra C4-Hybrid E/S серый (секр.P-4) фрагменты 15лист. 40лтр. скрепки скобы пл.карты CD</t>
        </is>
      </c>
      <c r="E4301" s="2" t="inlineStr">
        <is>
          <t>+ </t>
        </is>
      </c>
      <c r="F4301" s="2" t="inlineStr">
        <is>
          <t>+ </t>
        </is>
      </c>
      <c r="H4301" s="2">
        <v>363</v>
      </c>
      <c r="I4301" s="2" t="inlineStr">
        <is>
          <t>$</t>
        </is>
      </c>
      <c r="J4301" s="2">
        <f>HYPERLINK("https://app.astro.lead-studio.pro/product/105c0682-e379-47e7-9f54-79a6eedd7b74")</f>
      </c>
    </row>
    <row r="4302" spans="1:10" customHeight="0">
      <c r="A4302" s="2" t="inlineStr">
        <is>
          <t>Оргтехника</t>
        </is>
      </c>
      <c r="B4302" s="2" t="inlineStr">
        <is>
          <t>KOBRA</t>
        </is>
      </c>
      <c r="C4302" s="2" t="inlineStr">
        <is>
          <t>HYBRID-S E/S</t>
        </is>
      </c>
      <c r="D4302" s="2" t="inlineStr">
        <is>
          <t>Шредер Kobra Hybrid-S E/S (секр.P-4) фрагменты 12лист. 30лтр. скрепки скобы пл.карты</t>
        </is>
      </c>
      <c r="E4302" s="2" t="inlineStr">
        <is>
          <t>+ </t>
        </is>
      </c>
      <c r="F4302" s="2" t="inlineStr">
        <is>
          <t>+ </t>
        </is>
      </c>
      <c r="H4302" s="2">
        <v>351</v>
      </c>
      <c r="I4302" s="2" t="inlineStr">
        <is>
          <t>$</t>
        </is>
      </c>
      <c r="J4302" s="2">
        <f>HYPERLINK("https://app.astro.lead-studio.pro/product/080fe609-a6eb-4088-add0-f926d99a5ceb")</f>
      </c>
    </row>
    <row r="4303" spans="1:10" customHeight="0">
      <c r="A4303" s="2" t="inlineStr">
        <is>
          <t>Оргтехника</t>
        </is>
      </c>
      <c r="B4303" s="2" t="inlineStr">
        <is>
          <t>KOBRA</t>
        </is>
      </c>
      <c r="C4303" s="2" t="inlineStr">
        <is>
          <t>99.951</t>
        </is>
      </c>
      <c r="D4303" s="2" t="inlineStr">
        <is>
          <t>Шредер Kobra S4-Hybrid E/S серый (секр.Р-2) ленты 20лист. 40лтр. скрепки скобы пл.карты CD</t>
        </is>
      </c>
      <c r="E4303" s="2" t="inlineStr">
        <is>
          <t>+ </t>
        </is>
      </c>
      <c r="F4303" s="2" t="inlineStr">
        <is>
          <t>+ </t>
        </is>
      </c>
      <c r="H4303" s="2">
        <v>346</v>
      </c>
      <c r="I4303" s="2" t="inlineStr">
        <is>
          <t>$</t>
        </is>
      </c>
      <c r="J4303" s="2">
        <f>HYPERLINK("https://app.astro.lead-studio.pro/product/90e06190-f4ee-49d5-b842-961db91b7cf5")</f>
      </c>
    </row>
    <row r="4304" spans="1:10" customHeight="0">
      <c r="A4304" s="2" t="inlineStr">
        <is>
          <t>Оргтехника</t>
        </is>
      </c>
      <c r="B4304" s="2" t="inlineStr">
        <is>
          <t>KOBRA</t>
        </is>
      </c>
      <c r="C4304" s="2" t="inlineStr">
        <is>
          <t>99.952</t>
        </is>
      </c>
      <c r="D4304" s="2" t="inlineStr">
        <is>
          <t>Шредер Kobra S6-Hybrid E/S серый (секр.Р-2) ленты 26лист. 40лтр. скрепки скобы пл.карты CD</t>
        </is>
      </c>
      <c r="E4304" s="2" t="inlineStr">
        <is>
          <t>+ </t>
        </is>
      </c>
      <c r="F4304" s="2" t="inlineStr">
        <is>
          <t>+ </t>
        </is>
      </c>
      <c r="H4304" s="2">
        <v>342</v>
      </c>
      <c r="I4304" s="2" t="inlineStr">
        <is>
          <t>$</t>
        </is>
      </c>
      <c r="J4304" s="2">
        <f>HYPERLINK("https://app.astro.lead-studio.pro/product/5fef5ad0-a51f-4135-a3cc-845febc93875")</f>
      </c>
    </row>
    <row r="4305" spans="1:10" customHeight="0">
      <c r="A4305" s="2" t="inlineStr">
        <is>
          <t>Оргтехника</t>
        </is>
      </c>
      <c r="B4305" s="2" t="inlineStr">
        <is>
          <t>NEW UNITED</t>
        </is>
      </c>
      <c r="C4305" s="2" t="inlineStr">
        <is>
          <t>EM-3190 C</t>
        </is>
      </c>
      <c r="D4305" s="2" t="inlineStr">
        <is>
          <t>Шредер New United Etalon EM-3190 C серый (секр.P-4) фрагменты 32лист. 90лтр. скрепки скобы пл.карты CD</t>
        </is>
      </c>
      <c r="E4305" s="2" t="inlineStr">
        <is>
          <t>+ </t>
        </is>
      </c>
      <c r="F4305" s="2" t="inlineStr">
        <is>
          <t>+ </t>
        </is>
      </c>
      <c r="H4305" s="2">
        <v>993</v>
      </c>
      <c r="I4305" s="2" t="inlineStr">
        <is>
          <t>$</t>
        </is>
      </c>
      <c r="J4305" s="2">
        <f>HYPERLINK("https://app.astro.lead-studio.pro/product/bd6eec7a-ad86-4348-aa78-84f3b83da9e1")</f>
      </c>
    </row>
    <row r="4306" spans="1:10" customHeight="0">
      <c r="A4306" s="2" t="inlineStr">
        <is>
          <t>Оргтехника</t>
        </is>
      </c>
      <c r="B4306" s="2" t="inlineStr">
        <is>
          <t>NEW UNITED</t>
        </is>
      </c>
      <c r="C4306" s="2" t="inlineStr">
        <is>
          <t>EM-3190 M</t>
        </is>
      </c>
      <c r="D4306" s="2" t="inlineStr">
        <is>
          <t>Шредер New United Etalon EM-3190 M белый (секр.P-5) фрагменты 20лист. 90лтр. скрепки скобы пл.карты CD</t>
        </is>
      </c>
      <c r="E4306" s="2" t="inlineStr">
        <is>
          <t>+ </t>
        </is>
      </c>
      <c r="F4306" s="2" t="inlineStr">
        <is>
          <t>+ </t>
        </is>
      </c>
      <c r="H4306" s="2">
        <v>1002</v>
      </c>
      <c r="I4306" s="2" t="inlineStr">
        <is>
          <t>$</t>
        </is>
      </c>
      <c r="J4306" s="2">
        <f>HYPERLINK("https://app.astro.lead-studio.pro/product/8b8fec08-62a7-45a7-894f-69c2eae64ec9")</f>
      </c>
    </row>
    <row r="4307" spans="1:10" customHeight="0">
      <c r="A4307" s="2" t="inlineStr">
        <is>
          <t>Оргтехника</t>
        </is>
      </c>
      <c r="B4307" s="2" t="inlineStr">
        <is>
          <t>NEW UNITED</t>
        </is>
      </c>
      <c r="C4307" s="2" t="inlineStr">
        <is>
          <t>ES-5HS</t>
        </is>
      </c>
      <c r="D4307" s="2" t="inlineStr">
        <is>
          <t>Шредер New United Etalon ES-5HS белый (секр.P-7) фрагменты 6лист. 26лтр.</t>
        </is>
      </c>
      <c r="E4307" s="2" t="inlineStr">
        <is>
          <t>+ </t>
        </is>
      </c>
      <c r="F4307" s="2" t="inlineStr">
        <is>
          <t>+ </t>
        </is>
      </c>
      <c r="H4307" s="2">
        <v>342</v>
      </c>
      <c r="I4307" s="2" t="inlineStr">
        <is>
          <t>$</t>
        </is>
      </c>
      <c r="J4307" s="2">
        <f>HYPERLINK("https://app.astro.lead-studio.pro/product/dcf9090e-6d4d-4c71-9aa1-3a268aa44aa9")</f>
      </c>
    </row>
    <row r="4308" spans="1:10" customHeight="0">
      <c r="A4308" s="2" t="inlineStr">
        <is>
          <t>Оргтехника</t>
        </is>
      </c>
      <c r="B4308" s="2" t="inlineStr">
        <is>
          <t>NEW UNITED</t>
        </is>
      </c>
      <c r="C4308" s="2" t="inlineStr">
        <is>
          <t>ETALON ET-18M FORCE</t>
        </is>
      </c>
      <c r="D4308" s="2" t="inlineStr">
        <is>
          <t>Шредер New United Etalon ET-18M Force белый (секр.P-5) фрагменты 16лист. 34лтр. скрепки скобы пл.карты CD</t>
        </is>
      </c>
      <c r="E4308" s="2" t="inlineStr">
        <is>
          <t>+ </t>
        </is>
      </c>
      <c r="F4308" s="2" t="inlineStr">
        <is>
          <t>+ </t>
        </is>
      </c>
      <c r="H4308" s="2">
        <v>437</v>
      </c>
      <c r="I4308" s="2" t="inlineStr">
        <is>
          <t>$</t>
        </is>
      </c>
      <c r="J4308" s="2">
        <f>HYPERLINK("https://app.astro.lead-studio.pro/product/4dea2044-d07a-43de-9e99-5d7d9e42d87e")</f>
      </c>
    </row>
    <row r="4309" spans="1:10" customHeight="0">
      <c r="A4309" s="2" t="inlineStr">
        <is>
          <t>Оргтехника</t>
        </is>
      </c>
      <c r="B4309" s="2" t="inlineStr">
        <is>
          <t>NEW UNITED</t>
        </is>
      </c>
      <c r="C4309" s="2" t="inlineStr">
        <is>
          <t>ETALON ET-25C FORCE</t>
        </is>
      </c>
      <c r="D4309" s="2" t="inlineStr">
        <is>
          <t>Шредер New United Etalon ET-25C Force белый (секр.P-4) перекрестный 22лист. 34лтр. скрепки скобы пл.карты CD</t>
        </is>
      </c>
      <c r="E4309" s="2" t="inlineStr">
        <is>
          <t>+ </t>
        </is>
      </c>
      <c r="F4309" s="2" t="inlineStr">
        <is>
          <t>+ </t>
        </is>
      </c>
      <c r="H4309" s="2">
        <v>409</v>
      </c>
      <c r="I4309" s="2" t="inlineStr">
        <is>
          <t>$</t>
        </is>
      </c>
      <c r="J4309" s="2">
        <f>HYPERLINK("https://app.astro.lead-studio.pro/product/37c01904-a66d-4034-9f21-1cfaf6bc6a21")</f>
      </c>
    </row>
    <row r="4310" spans="1:10" customHeight="0">
      <c r="A4310" s="2" t="inlineStr">
        <is>
          <t>Оргтехника</t>
        </is>
      </c>
      <c r="B4310" s="2" t="inlineStr">
        <is>
          <t>NEW UNITED</t>
        </is>
      </c>
      <c r="C4310" s="2" t="inlineStr">
        <is>
          <t>ETALON ET-6HS+</t>
        </is>
      </c>
      <c r="D4310" s="2" t="inlineStr">
        <is>
          <t>Шредер New United Etalon ET-6HS+ (секр.P-7) фрагменты 5лист. 40лтр.</t>
        </is>
      </c>
      <c r="E4310" s="2" t="inlineStr">
        <is>
          <t>+ </t>
        </is>
      </c>
      <c r="F4310" s="2" t="inlineStr">
        <is>
          <t>+ </t>
        </is>
      </c>
      <c r="H4310" s="2">
        <v>578</v>
      </c>
      <c r="I4310" s="2" t="inlineStr">
        <is>
          <t>$</t>
        </is>
      </c>
      <c r="J4310" s="2">
        <f>HYPERLINK("https://app.astro.lead-studio.pro/product/e8a98900-c8e6-428a-aa79-a59edc37afdb")</f>
      </c>
    </row>
    <row r="4311" spans="1:10" customHeight="0">
      <c r="A4311" s="2" t="inlineStr">
        <is>
          <t>Оргтехника</t>
        </is>
      </c>
      <c r="B4311" s="2" t="inlineStr">
        <is>
          <t>NEW UNITED</t>
        </is>
      </c>
      <c r="C4311" s="2" t="inlineStr">
        <is>
          <t>M2250HS+</t>
        </is>
      </c>
      <c r="D4311" s="2" t="inlineStr">
        <is>
          <t>Шредер New United M2250HS+ белый (секр.P-7) фрагменты 5лист. 50лтр. пл.карты CD</t>
        </is>
      </c>
      <c r="E4311" s="2" t="inlineStr">
        <is>
          <t>+ </t>
        </is>
      </c>
      <c r="F4311" s="2" t="inlineStr">
        <is>
          <t>+ </t>
        </is>
      </c>
      <c r="H4311" s="2">
        <v>1123</v>
      </c>
      <c r="I4311" s="2" t="inlineStr">
        <is>
          <t>$</t>
        </is>
      </c>
      <c r="J4311" s="2">
        <f>HYPERLINK("https://app.astro.lead-studio.pro/product/84e039c9-1a75-4899-ab03-eba1016717ee")</f>
      </c>
    </row>
    <row r="4312" spans="1:10" customHeight="0">
      <c r="A4312" s="2" t="inlineStr">
        <is>
          <t>Оргтехника</t>
        </is>
      </c>
      <c r="B4312" s="2" t="inlineStr">
        <is>
          <t>OFFICE KIT</t>
        </is>
      </c>
      <c r="C4312" s="2" t="inlineStr">
        <is>
          <t>OK39351350</t>
        </is>
      </c>
      <c r="D4312" s="2" t="inlineStr">
        <is>
          <t>Шредер Office Kit S1350 3,9x35 белый (секр.P-4) фрагменты 35лист. 135лтр. скрепки скобы пл.карты CD</t>
        </is>
      </c>
      <c r="E4312" s="2" t="inlineStr">
        <is>
          <t>+ </t>
        </is>
      </c>
      <c r="F4312" s="2" t="inlineStr">
        <is>
          <t>+ </t>
        </is>
      </c>
      <c r="H4312" s="2">
        <v>1260</v>
      </c>
      <c r="I4312" s="2" t="inlineStr">
        <is>
          <t>$</t>
        </is>
      </c>
      <c r="J4312" s="2">
        <f>HYPERLINK("https://app.astro.lead-studio.pro/product/2e1c21dd-47ff-4826-a8f3-fa80f418ba6a")</f>
      </c>
    </row>
    <row r="4313" spans="1:10" customHeight="0">
      <c r="A4313" s="2" t="inlineStr">
        <is>
          <t>Оргтехника</t>
        </is>
      </c>
      <c r="B4313" s="2" t="inlineStr">
        <is>
          <t>OFFICE KIT</t>
        </is>
      </c>
      <c r="C4313" s="2" t="inlineStr">
        <is>
          <t>OK0202S190</t>
        </is>
      </c>
      <c r="D4313" s="2" t="inlineStr">
        <is>
          <t>Шредер Office Kit S190 (2x2) черный (секр.P-6) фрагменты 7лист. 20лтр.</t>
        </is>
      </c>
      <c r="E4313" s="2" t="inlineStr">
        <is>
          <t>+ </t>
        </is>
      </c>
      <c r="F4313" s="2" t="inlineStr">
        <is>
          <t>+ </t>
        </is>
      </c>
      <c r="H4313" s="2">
        <v>336</v>
      </c>
      <c r="I4313" s="2" t="inlineStr">
        <is>
          <t>$</t>
        </is>
      </c>
      <c r="J4313" s="2">
        <f>HYPERLINK("https://app.astro.lead-studio.pro/product/7f1e45f6-4199-4cb3-836f-302811aaa737")</f>
      </c>
    </row>
    <row r="4314" spans="1:10" customHeight="0">
      <c r="A4314" s="2" t="inlineStr">
        <is>
          <t>Оргтехника</t>
        </is>
      </c>
      <c r="B4314" s="2" t="inlineStr">
        <is>
          <t>OFFICE KIT</t>
        </is>
      </c>
      <c r="C4314" s="2" t="inlineStr">
        <is>
          <t>OK0801S200</t>
        </is>
      </c>
      <c r="D4314" s="2" t="inlineStr">
        <is>
          <t>Шредер Office Kit S200TS 0,8x1 белый (секр.P-7) фрагменты 6лист. 25лтр. скобы пл.карты CD</t>
        </is>
      </c>
      <c r="E4314" s="2" t="inlineStr">
        <is>
          <t>+ </t>
        </is>
      </c>
      <c r="F4314" s="2" t="inlineStr">
        <is>
          <t>+ </t>
        </is>
      </c>
      <c r="H4314" s="2">
        <v>401</v>
      </c>
      <c r="I4314" s="2" t="inlineStr">
        <is>
          <t>$</t>
        </is>
      </c>
      <c r="J4314" s="2">
        <f>HYPERLINK("https://app.astro.lead-studio.pro/product/86a85cf4-8f54-4ca6-b5c7-e3ab03aa4643")</f>
      </c>
    </row>
    <row r="4315" spans="1:10" customHeight="0">
      <c r="A4315" s="2" t="inlineStr">
        <is>
          <t>Оргтехника</t>
        </is>
      </c>
      <c r="B4315" s="2" t="inlineStr">
        <is>
          <t>OFFICE KIT</t>
        </is>
      </c>
      <c r="C4315" s="2" t="inlineStr">
        <is>
          <t>OK0802S200</t>
        </is>
      </c>
      <c r="D4315" s="2" t="inlineStr">
        <is>
          <t>Шредер Office Kit S200TS 0,8x2 белый (секр.P-7) фрагменты 6лист. 25лтр. скобы пл.карты CD</t>
        </is>
      </c>
      <c r="E4315" s="2" t="inlineStr">
        <is>
          <t>+ </t>
        </is>
      </c>
      <c r="F4315" s="2" t="inlineStr">
        <is>
          <t>+ </t>
        </is>
      </c>
      <c r="H4315" s="2">
        <v>389</v>
      </c>
      <c r="I4315" s="2" t="inlineStr">
        <is>
          <t>$</t>
        </is>
      </c>
      <c r="J4315" s="2">
        <f>HYPERLINK("https://app.astro.lead-studio.pro/product/f97198bc-7937-4b6a-a6d7-d16f061176c6")</f>
      </c>
    </row>
    <row r="4316" spans="1:10" customHeight="0">
      <c r="A4316" s="2" t="inlineStr">
        <is>
          <t>Оргтехника</t>
        </is>
      </c>
      <c r="B4316" s="2" t="inlineStr">
        <is>
          <t>OFFICE KIT</t>
        </is>
      </c>
      <c r="C4316" s="2" t="inlineStr">
        <is>
          <t>OK0215S230</t>
        </is>
      </c>
      <c r="D4316" s="2" t="inlineStr">
        <is>
          <t>Шредер Office Kit S230 2x15 (секр.P-5) фрагменты 17лист. 35лтр. скрепки скобы пл.карты CD</t>
        </is>
      </c>
      <c r="E4316" s="2" t="inlineStr">
        <is>
          <t>+ </t>
        </is>
      </c>
      <c r="F4316" s="2" t="inlineStr">
        <is>
          <t>+ </t>
        </is>
      </c>
      <c r="H4316" s="2">
        <v>414</v>
      </c>
      <c r="I4316" s="2" t="inlineStr">
        <is>
          <t>$</t>
        </is>
      </c>
      <c r="J4316" s="2">
        <f>HYPERLINK("https://app.astro.lead-studio.pro/product/1b1cfa1f-3136-4e75-870e-112d0c3580b1")</f>
      </c>
    </row>
    <row r="4317" spans="1:10" customHeight="0">
      <c r="A4317" s="2" t="inlineStr">
        <is>
          <t>Оргтехника</t>
        </is>
      </c>
      <c r="B4317" s="2" t="inlineStr">
        <is>
          <t>OFFICE KIT</t>
        </is>
      </c>
      <c r="C4317" s="2" t="inlineStr">
        <is>
          <t>OK1910S240</t>
        </is>
      </c>
      <c r="D4317" s="2" t="inlineStr">
        <is>
          <t>Шредер Office Kit S240 1.9x10 (секр.P-5) фрагменты 15лист. 40лтр. скрепки скобы пл.карты CD</t>
        </is>
      </c>
      <c r="E4317" s="2" t="inlineStr">
        <is>
          <t>+ </t>
        </is>
      </c>
      <c r="F4317" s="2" t="inlineStr">
        <is>
          <t>+ </t>
        </is>
      </c>
      <c r="H4317" s="2">
        <v>399</v>
      </c>
      <c r="I4317" s="2" t="inlineStr">
        <is>
          <t>$</t>
        </is>
      </c>
      <c r="J4317" s="2">
        <f>HYPERLINK("https://app.astro.lead-studio.pro/product/f9517486-8b14-4b48-944c-326cc59e41fe")</f>
      </c>
    </row>
    <row r="4318" spans="1:10" customHeight="0">
      <c r="A4318" s="2" t="inlineStr">
        <is>
          <t>Оргтехника</t>
        </is>
      </c>
      <c r="B4318" s="2" t="inlineStr">
        <is>
          <t>OFFICE KIT</t>
        </is>
      </c>
      <c r="C4318" s="2" t="inlineStr">
        <is>
          <t>OK0802S500</t>
        </is>
      </c>
      <c r="D4318" s="2" t="inlineStr">
        <is>
          <t>Шредер Office Kit S500 0,8x2 белый (секр.P-7) фрагменты 7лист. 50лтр. скобы пл.карты CD</t>
        </is>
      </c>
      <c r="E4318" s="2" t="inlineStr">
        <is>
          <t>+ </t>
        </is>
      </c>
      <c r="F4318" s="2" t="inlineStr">
        <is>
          <t>+ </t>
        </is>
      </c>
      <c r="H4318" s="2">
        <v>765</v>
      </c>
      <c r="I4318" s="2" t="inlineStr">
        <is>
          <t>$</t>
        </is>
      </c>
      <c r="J4318" s="2">
        <f>HYPERLINK("https://app.astro.lead-studio.pro/product/ee3bbdf5-6b5e-4dd6-bd2e-b5b2f66bbbbf")</f>
      </c>
    </row>
    <row r="4319" spans="1:10" customHeight="0">
      <c r="A4319" s="2" t="inlineStr">
        <is>
          <t>Оргтехника</t>
        </is>
      </c>
      <c r="B4319" s="2" t="inlineStr">
        <is>
          <t>OFFICE KIT</t>
        </is>
      </c>
      <c r="C4319" s="2" t="inlineStr">
        <is>
          <t>OK0805S600</t>
        </is>
      </c>
      <c r="D4319" s="2" t="inlineStr">
        <is>
          <t>Шредер Office Kit S600 0,8х5 серый (секр.P-7) фрагменты 6лист. 60лтр.</t>
        </is>
      </c>
      <c r="E4319" s="2" t="inlineStr">
        <is>
          <t>+ </t>
        </is>
      </c>
      <c r="F4319" s="2" t="inlineStr">
        <is>
          <t>+ </t>
        </is>
      </c>
      <c r="H4319" s="2">
        <v>912</v>
      </c>
      <c r="I4319" s="2" t="inlineStr">
        <is>
          <t>$</t>
        </is>
      </c>
      <c r="J4319" s="2">
        <f>HYPERLINK("https://app.astro.lead-studio.pro/product/cbef0164-a03e-433e-8c7b-e29a6a422cca")</f>
      </c>
    </row>
    <row r="4320" spans="1:10" customHeight="0">
      <c r="A4320" s="2" t="inlineStr">
        <is>
          <t>Оргтехника</t>
        </is>
      </c>
      <c r="B4320" s="2" t="inlineStr">
        <is>
          <t>OFFICE KIT</t>
        </is>
      </c>
      <c r="C4320" s="2" t="inlineStr">
        <is>
          <t>OK39S850</t>
        </is>
      </c>
      <c r="D4320" s="2" t="inlineStr">
        <is>
          <t>Шредер Office Kit S850 3.9 (секр.Р-2) ленты 38лист. 85лтр. скрепки скобы пл.карты CD</t>
        </is>
      </c>
      <c r="E4320" s="2" t="inlineStr">
        <is>
          <t>+ </t>
        </is>
      </c>
      <c r="F4320" s="2" t="inlineStr">
        <is>
          <t>+ </t>
        </is>
      </c>
      <c r="H4320" s="2">
        <v>887</v>
      </c>
      <c r="I4320" s="2" t="inlineStr">
        <is>
          <t>$</t>
        </is>
      </c>
      <c r="J4320" s="2">
        <f>HYPERLINK("https://app.astro.lead-studio.pro/product/e90aa1a5-b919-4346-8452-ce91c81c03ce")</f>
      </c>
    </row>
    <row r="4321" spans="1:10" customHeight="0">
      <c r="A4321" s="2" t="inlineStr">
        <is>
          <t>Оргтехника</t>
        </is>
      </c>
      <c r="B4321" s="2" t="inlineStr">
        <is>
          <t>OFFICE KIT</t>
        </is>
      </c>
      <c r="C4321" s="2" t="inlineStr">
        <is>
          <t>OK1915SA300</t>
        </is>
      </c>
      <c r="D4321" s="2" t="inlineStr">
        <is>
          <t>Шредер Office Kit SA300 (1,9х15) серый/черный с автоподачей (секр.P-5) фрагменты 300лист. 45лтр. скобы пл.карты</t>
        </is>
      </c>
      <c r="E4321" s="2" t="inlineStr">
        <is>
          <t>+ </t>
        </is>
      </c>
      <c r="F4321" s="2" t="inlineStr">
        <is>
          <t>+ </t>
        </is>
      </c>
      <c r="H4321" s="2">
        <v>628</v>
      </c>
      <c r="I4321" s="2" t="inlineStr">
        <is>
          <t>$</t>
        </is>
      </c>
      <c r="J4321" s="2">
        <f>HYPERLINK("https://app.astro.lead-studio.pro/product/669f4c21-292a-4eb5-9679-df88d9c76fe6")</f>
      </c>
    </row>
    <row r="4322" spans="1:10" customHeight="0">
      <c r="A4322" s="2" t="inlineStr">
        <is>
          <t>Оргтехника</t>
        </is>
      </c>
      <c r="B4322" s="2" t="inlineStr">
        <is>
          <t>OFFICE KIT</t>
        </is>
      </c>
      <c r="C4322" s="2" t="inlineStr">
        <is>
          <t>OK3810SA375</t>
        </is>
      </c>
      <c r="D4322" s="2" t="inlineStr">
        <is>
          <t>Шредер Office Kit SA375 серый/черный с автоподачей (секр.P-4) фрагменты 375лист. 42лтр. скрепки скобы пл.карты CD</t>
        </is>
      </c>
      <c r="E4322" s="2" t="inlineStr">
        <is>
          <t>+ </t>
        </is>
      </c>
      <c r="F4322" s="2" t="inlineStr">
        <is>
          <t>+ </t>
        </is>
      </c>
      <c r="H4322" s="2">
        <v>620</v>
      </c>
      <c r="I4322" s="2" t="inlineStr">
        <is>
          <t>$</t>
        </is>
      </c>
      <c r="J4322" s="2">
        <f>HYPERLINK("https://app.astro.lead-studio.pro/product/54d91249-5b74-4317-ad83-e33a10dd9d45")</f>
      </c>
    </row>
    <row r="4323" spans="1:10" customHeight="0">
      <c r="A4323" s="2" t="inlineStr">
        <is>
          <t>Оргтехника</t>
        </is>
      </c>
      <c r="B4323" s="2" t="inlineStr">
        <is>
          <t>REXEL</t>
        </is>
      </c>
      <c r="C4323" s="2" t="inlineStr">
        <is>
          <t>2020100MEU</t>
        </is>
      </c>
      <c r="D4323" s="2" t="inlineStr">
        <is>
          <t>Шредер Rexel Optimum AutoFeed 100M черный с автоподачей (секр.P-5) фрагменты 100лист. 34лтр. скрепки скобы пл.карты</t>
        </is>
      </c>
      <c r="E4323" s="2" t="inlineStr">
        <is>
          <t>+ </t>
        </is>
      </c>
      <c r="F4323" s="2" t="inlineStr">
        <is>
          <t>+ </t>
        </is>
      </c>
      <c r="H4323" s="2">
        <v>544</v>
      </c>
      <c r="I4323" s="2" t="inlineStr">
        <is>
          <t>$</t>
        </is>
      </c>
      <c r="J4323" s="2">
        <f>HYPERLINK("https://app.astro.lead-studio.pro/product/5a8fbb61-aa5e-4171-bc95-b2832e5ee91f")</f>
      </c>
    </row>
    <row r="4324" spans="1:10" customHeight="0">
      <c r="A4324" s="2" t="inlineStr">
        <is>
          <t>Оргтехника</t>
        </is>
      </c>
      <c r="B4324" s="2" t="inlineStr">
        <is>
          <t>REXEL</t>
        </is>
      </c>
      <c r="C4324" s="2" t="inlineStr">
        <is>
          <t>2020100XEU</t>
        </is>
      </c>
      <c r="D4324" s="2" t="inlineStr">
        <is>
          <t>Шредер Rexel Optimum AutoFeed 100X черный с автоподачей (секр.P-4) фрагменты 100лист. 34лтр. скрепки скобы пл.карты</t>
        </is>
      </c>
      <c r="E4324" s="2" t="inlineStr">
        <is>
          <t>+ </t>
        </is>
      </c>
      <c r="F4324" s="2" t="inlineStr">
        <is>
          <t>+ </t>
        </is>
      </c>
      <c r="H4324" s="2">
        <v>505</v>
      </c>
      <c r="I4324" s="2" t="inlineStr">
        <is>
          <t>$</t>
        </is>
      </c>
      <c r="J4324" s="2">
        <f>HYPERLINK("https://app.astro.lead-studio.pro/product/52681d7c-6d98-435f-969d-df971cc7dba9")</f>
      </c>
    </row>
    <row r="4325" spans="1:10" customHeight="0">
      <c r="A4325" s="2" t="inlineStr">
        <is>
          <t>Оргтехника</t>
        </is>
      </c>
      <c r="B4325" s="2" t="inlineStr">
        <is>
          <t>REXEL</t>
        </is>
      </c>
      <c r="C4325" s="2" t="inlineStr">
        <is>
          <t>2020130MEU</t>
        </is>
      </c>
      <c r="D4325" s="2" t="inlineStr">
        <is>
          <t>Шредер Rexel Optimum AutoFeed 130M черный с автоподачей (секр.P-5) фрагменты 130лист. 44лтр. скрепки скобы пл.карты</t>
        </is>
      </c>
      <c r="E4325" s="2" t="inlineStr">
        <is>
          <t>+ </t>
        </is>
      </c>
      <c r="F4325" s="2" t="inlineStr">
        <is>
          <t>+ </t>
        </is>
      </c>
      <c r="H4325" s="2">
        <v>635</v>
      </c>
      <c r="I4325" s="2" t="inlineStr">
        <is>
          <t>$</t>
        </is>
      </c>
      <c r="J4325" s="2">
        <f>HYPERLINK("https://app.astro.lead-studio.pro/product/89c74e06-59eb-420c-9b8e-d8e9db386844")</f>
      </c>
    </row>
    <row r="4326" spans="1:10" customHeight="0">
      <c r="A4326" s="2" t="inlineStr">
        <is>
          <t>Оргтехника</t>
        </is>
      </c>
      <c r="B4326" s="2" t="inlineStr">
        <is>
          <t>REXEL</t>
        </is>
      </c>
      <c r="C4326" s="2" t="inlineStr">
        <is>
          <t>2020130XEU</t>
        </is>
      </c>
      <c r="D4326" s="2" t="inlineStr">
        <is>
          <t>Шредер Rexel Optimum AutoFeed 130X черный с автоподачей (секр.P-4) фрагменты 130лист. 44лтр. скрепки скобы пл.карты</t>
        </is>
      </c>
      <c r="E4326" s="2" t="inlineStr">
        <is>
          <t>+ </t>
        </is>
      </c>
      <c r="F4326" s="2" t="inlineStr">
        <is>
          <t>+ </t>
        </is>
      </c>
      <c r="H4326" s="2">
        <v>593</v>
      </c>
      <c r="I4326" s="2" t="inlineStr">
        <is>
          <t>$</t>
        </is>
      </c>
      <c r="J4326" s="2">
        <f>HYPERLINK("https://app.astro.lead-studio.pro/product/639648fa-d0e1-4f26-9adc-7afa354aa41f")</f>
      </c>
    </row>
    <row r="4327" spans="1:10" customHeight="0">
      <c r="A4327" s="2" t="inlineStr">
        <is>
          <t>Оргтехника</t>
        </is>
      </c>
      <c r="B4327" s="2" t="inlineStr">
        <is>
          <t>REXEL</t>
        </is>
      </c>
      <c r="C4327" s="2" t="inlineStr">
        <is>
          <t>2020150MEU</t>
        </is>
      </c>
      <c r="D4327" s="2" t="inlineStr">
        <is>
          <t>Шредер Rexel Optimum AutoFeed 150M черный с автоподачей (секр.P-5) фрагменты 150лист. 44лтр. скрепки скобы пл.карты</t>
        </is>
      </c>
      <c r="E4327" s="2" t="inlineStr">
        <is>
          <t>+ </t>
        </is>
      </c>
      <c r="F4327" s="2" t="inlineStr">
        <is>
          <t>+ </t>
        </is>
      </c>
      <c r="H4327" s="2">
        <v>739</v>
      </c>
      <c r="I4327" s="2" t="inlineStr">
        <is>
          <t>$</t>
        </is>
      </c>
      <c r="J4327" s="2">
        <f>HYPERLINK("https://app.astro.lead-studio.pro/product/014fb5e7-780e-46b2-896e-9f552101c1fc")</f>
      </c>
    </row>
    <row r="4328" spans="1:10" customHeight="0">
      <c r="A4328" s="2" t="inlineStr">
        <is>
          <t>Оргтехника</t>
        </is>
      </c>
      <c r="B4328" s="2" t="inlineStr">
        <is>
          <t>REXEL</t>
        </is>
      </c>
      <c r="C4328" s="2" t="inlineStr">
        <is>
          <t>2020150XEU</t>
        </is>
      </c>
      <c r="D4328" s="2" t="inlineStr">
        <is>
          <t>Шредер Rexel Optimum AutoFeed 150X черный с автоподачей (секр.P-4) фрагменты 150лист. 44лтр. скрепки скобы пл.карты</t>
        </is>
      </c>
      <c r="E4328" s="2" t="inlineStr">
        <is>
          <t>+ </t>
        </is>
      </c>
      <c r="F4328" s="2" t="inlineStr">
        <is>
          <t>+ </t>
        </is>
      </c>
      <c r="H4328" s="2">
        <v>648</v>
      </c>
      <c r="I4328" s="2" t="inlineStr">
        <is>
          <t>$</t>
        </is>
      </c>
      <c r="J4328" s="2">
        <f>HYPERLINK("https://app.astro.lead-studio.pro/product/cd861d64-241d-455b-b414-0b051af62e7f")</f>
      </c>
    </row>
    <row r="4329" spans="1:10" customHeight="0">
      <c r="A4329" s="2" t="inlineStr">
        <is>
          <t>Оргтехника</t>
        </is>
      </c>
      <c r="B4329" s="2" t="inlineStr">
        <is>
          <t>REXEL</t>
        </is>
      </c>
      <c r="C4329" s="2" t="inlineStr">
        <is>
          <t>2020300MEU</t>
        </is>
      </c>
      <c r="D4329" s="2" t="inlineStr">
        <is>
          <t>Шредер Rexel Optimum AutoFeed 300M черный с автоподачей (секр.P-5) фрагменты 300лист. 60лтр. скрепки скобы пл.карты</t>
        </is>
      </c>
      <c r="E4329" s="2" t="inlineStr">
        <is>
          <t>+ </t>
        </is>
      </c>
      <c r="F4329" s="2" t="inlineStr">
        <is>
          <t>+ </t>
        </is>
      </c>
      <c r="H4329" s="2">
        <v>1052</v>
      </c>
      <c r="I4329" s="2" t="inlineStr">
        <is>
          <t>$</t>
        </is>
      </c>
      <c r="J4329" s="2">
        <f>HYPERLINK("https://app.astro.lead-studio.pro/product/0088032c-f7d7-431e-9859-7af8ef62da04")</f>
      </c>
    </row>
    <row r="4330" spans="1:10" customHeight="0">
      <c r="A4330" s="2" t="inlineStr">
        <is>
          <t>Оргтехника</t>
        </is>
      </c>
      <c r="B4330" s="2" t="inlineStr">
        <is>
          <t>REXEL</t>
        </is>
      </c>
      <c r="C4330" s="2" t="inlineStr">
        <is>
          <t>2020300XEU</t>
        </is>
      </c>
      <c r="D4330" s="2" t="inlineStr">
        <is>
          <t>Шредер Rexel Optimum AutoFeed 300X черный с автоподачей (секр.P-4) фрагменты 300лист. 60лтр. скрепки скобы пл.карты</t>
        </is>
      </c>
      <c r="E4330" s="2" t="inlineStr">
        <is>
          <t>+ </t>
        </is>
      </c>
      <c r="F4330" s="2" t="inlineStr">
        <is>
          <t>+ </t>
        </is>
      </c>
      <c r="H4330" s="2">
        <v>922</v>
      </c>
      <c r="I4330" s="2" t="inlineStr">
        <is>
          <t>$</t>
        </is>
      </c>
      <c r="J4330" s="2">
        <f>HYPERLINK("https://app.astro.lead-studio.pro/product/a3ff4f21-3223-4d3c-8045-a47642bbcdc3")</f>
      </c>
    </row>
    <row r="4331" spans="1:10" customHeight="0">
      <c r="A4331" s="2" t="inlineStr">
        <is>
          <t>Оргтехника</t>
        </is>
      </c>
      <c r="B4331" s="2" t="inlineStr">
        <is>
          <t>REXEL</t>
        </is>
      </c>
      <c r="C4331" s="2" t="inlineStr">
        <is>
          <t>2020050XEU</t>
        </is>
      </c>
      <c r="D4331" s="2" t="inlineStr">
        <is>
          <t>Шредер Rexel Optimum AutoFeed 50X черный с автоподачей (секр.P-4) фрагменты 50лист. 20лтр. скрепки скобы пл.карты</t>
        </is>
      </c>
      <c r="E4331" s="2" t="inlineStr">
        <is>
          <t>+ </t>
        </is>
      </c>
      <c r="F4331" s="2" t="inlineStr">
        <is>
          <t>+ </t>
        </is>
      </c>
      <c r="H4331" s="2">
        <v>385</v>
      </c>
      <c r="I4331" s="2" t="inlineStr">
        <is>
          <t>$</t>
        </is>
      </c>
      <c r="J4331" s="2">
        <f>HYPERLINK("https://app.astro.lead-studio.pro/product/78630c7a-1ccb-4ab3-8d31-e7a264d37e8c")</f>
      </c>
    </row>
    <row r="4332" spans="1:10" customHeight="0">
      <c r="A4332" s="2" t="inlineStr">
        <is>
          <t>Оргтехника</t>
        </is>
      </c>
      <c r="B4332" s="2" t="inlineStr">
        <is>
          <t>REXEL</t>
        </is>
      </c>
      <c r="C4332" s="2" t="inlineStr">
        <is>
          <t>2020750XEU</t>
        </is>
      </c>
      <c r="D4332" s="2" t="inlineStr">
        <is>
          <t>Шредер Rexel Optimum AutoFeed 750X черный с автоподачей (секр.P-4) фрагменты 750лист. 140лтр. скрепки скобы пл.карты</t>
        </is>
      </c>
      <c r="E4332" s="2" t="inlineStr">
        <is>
          <t>+ </t>
        </is>
      </c>
      <c r="F4332" s="2" t="inlineStr">
        <is>
          <t>+ </t>
        </is>
      </c>
      <c r="H4332" s="2">
        <v>3221</v>
      </c>
      <c r="I4332" s="2" t="inlineStr">
        <is>
          <t>$</t>
        </is>
      </c>
      <c r="J4332" s="2">
        <f>HYPERLINK("https://app.astro.lead-studio.pro/product/bff314f1-d997-43be-aa61-6e08260f3e53")</f>
      </c>
    </row>
    <row r="4333" spans="1:10" customHeight="0">
      <c r="A4333" s="2" t="inlineStr">
        <is>
          <t>Оргтехника</t>
        </is>
      </c>
      <c r="B4333" s="2" t="inlineStr">
        <is>
          <t>REXEL</t>
        </is>
      </c>
      <c r="C4333" s="2" t="inlineStr">
        <is>
          <t>2020090XEU</t>
        </is>
      </c>
      <c r="D4333" s="2" t="inlineStr">
        <is>
          <t>Шредер Rexel Optimum AutoFeed 90X черный с автоподачей (секр.P-4) фрагменты 90лист. 34лтр. скрепки скобы пл.карты</t>
        </is>
      </c>
      <c r="E4333" s="2" t="inlineStr">
        <is>
          <t>+ </t>
        </is>
      </c>
      <c r="F4333" s="2" t="inlineStr">
        <is>
          <t>+ </t>
        </is>
      </c>
      <c r="H4333" s="2">
        <v>479</v>
      </c>
      <c r="I4333" s="2" t="inlineStr">
        <is>
          <t>$</t>
        </is>
      </c>
      <c r="J4333" s="2">
        <f>HYPERLINK("https://app.astro.lead-studio.pro/product/a16088dc-c195-4f24-b19f-adc3e93ea936")</f>
      </c>
    </row>
    <row r="4334" spans="1:10" customHeight="0">
      <c r="A4334" s="2" t="inlineStr">
        <is>
          <t>Плоттеры</t>
        </is>
      </c>
      <c r="B4334" s="2" t="inlineStr">
        <is>
          <t>CANON</t>
        </is>
      </c>
      <c r="C4334" s="2" t="inlineStr">
        <is>
          <t>5816C003AB</t>
        </is>
      </c>
      <c r="D4334" s="2" t="inlineStr">
        <is>
          <t>Плоттер Canon imagePROGRAF TC-20M (5816C003AB) A1/24" (без подставки)</t>
        </is>
      </c>
      <c r="E4334" s="2" t="inlineStr">
        <is>
          <t>+ </t>
        </is>
      </c>
      <c r="F4334" s="2" t="inlineStr">
        <is>
          <t>+ </t>
        </is>
      </c>
      <c r="H4334" s="2">
        <v>1953</v>
      </c>
      <c r="I4334" s="2" t="inlineStr">
        <is>
          <t>$</t>
        </is>
      </c>
      <c r="J4334" s="2">
        <f>HYPERLINK("https://app.astro.lead-studio.pro/product/7605d5b7-afd4-450e-aacb-9b20889816e6")</f>
      </c>
    </row>
    <row r="4335" spans="1:10" customHeight="0">
      <c r="A4335" s="2" t="inlineStr">
        <is>
          <t>Плоттеры</t>
        </is>
      </c>
      <c r="B4335" s="2" t="inlineStr">
        <is>
          <t>CANON</t>
        </is>
      </c>
      <c r="C4335" s="2" t="inlineStr">
        <is>
          <t>6242C003AA</t>
        </is>
      </c>
      <c r="D4335" s="2" t="inlineStr">
        <is>
          <t>Плоттер Canon imagePROGRAF TM-240 (6242C003AA) A1/24" (без подставки)</t>
        </is>
      </c>
      <c r="E4335" s="2" t="inlineStr">
        <is>
          <t>+ </t>
        </is>
      </c>
      <c r="F4335" s="2" t="inlineStr">
        <is>
          <t>+ </t>
        </is>
      </c>
      <c r="H4335" s="2">
        <v>1305</v>
      </c>
      <c r="I4335" s="2" t="inlineStr">
        <is>
          <t>$</t>
        </is>
      </c>
      <c r="J4335" s="2">
        <f>HYPERLINK("https://app.astro.lead-studio.pro/product/4c5d3f23-da62-4020-8f5f-d0ef1f312da5")</f>
      </c>
    </row>
    <row r="4336" spans="1:10" customHeight="0">
      <c r="A4336" s="2" t="inlineStr">
        <is>
          <t>Плоттеры</t>
        </is>
      </c>
      <c r="B4336" s="2" t="inlineStr">
        <is>
          <t>CANON</t>
        </is>
      </c>
      <c r="C4336" s="2" t="inlineStr">
        <is>
          <t>6238C003</t>
        </is>
      </c>
      <c r="D4336" s="2" t="inlineStr">
        <is>
          <t>Плоттер Canon imagePROGRAF TM-255 (6238C003) A1/24"</t>
        </is>
      </c>
      <c r="E4336" s="2" t="inlineStr">
        <is>
          <t>+ </t>
        </is>
      </c>
      <c r="F4336" s="2" t="inlineStr">
        <is>
          <t>+ </t>
        </is>
      </c>
      <c r="H4336" s="2">
        <v>1523</v>
      </c>
      <c r="I4336" s="2" t="inlineStr">
        <is>
          <t>$</t>
        </is>
      </c>
      <c r="J4336" s="2">
        <f>HYPERLINK("https://app.astro.lead-studio.pro/product/751c145c-56b0-4ea5-bb60-f3b5d8d090c3")</f>
      </c>
    </row>
    <row r="4337" spans="1:10" customHeight="0">
      <c r="A4337" s="2" t="inlineStr">
        <is>
          <t>Плоттеры</t>
        </is>
      </c>
      <c r="B4337" s="2" t="inlineStr">
        <is>
          <t>CANON</t>
        </is>
      </c>
      <c r="C4337" s="2" t="inlineStr">
        <is>
          <t>6248C003AA</t>
        </is>
      </c>
      <c r="D4337" s="2" t="inlineStr">
        <is>
          <t>Плоттер Canon imagePROGRAF TM-340 (6248C003AA) A0/36"</t>
        </is>
      </c>
      <c r="E4337" s="2" t="inlineStr">
        <is>
          <t>+ </t>
        </is>
      </c>
      <c r="F4337" s="2" t="inlineStr">
        <is>
          <t>+ </t>
        </is>
      </c>
      <c r="H4337" s="2">
        <v>1818</v>
      </c>
      <c r="I4337" s="2" t="inlineStr">
        <is>
          <t>$</t>
        </is>
      </c>
      <c r="J4337" s="2">
        <f>HYPERLINK("https://app.astro.lead-studio.pro/product/8201f472-40b1-474c-9049-33411f6f6644")</f>
      </c>
    </row>
    <row r="4338" spans="1:10" customHeight="0">
      <c r="A4338" s="2" t="inlineStr">
        <is>
          <t>Плоттеры</t>
        </is>
      </c>
      <c r="B4338" s="2" t="inlineStr">
        <is>
          <t>CANON</t>
        </is>
      </c>
      <c r="C4338" s="2" t="inlineStr">
        <is>
          <t>6246C003AA</t>
        </is>
      </c>
      <c r="D4338" s="2" t="inlineStr">
        <is>
          <t>Плоттер Canon imagePROGRAF TM-350 (6246C003AA) A0/36"</t>
        </is>
      </c>
      <c r="E4338" s="2" t="inlineStr">
        <is>
          <t>+ </t>
        </is>
      </c>
      <c r="F4338" s="2" t="inlineStr">
        <is>
          <t>+ </t>
        </is>
      </c>
      <c r="H4338" s="2">
        <v>2129</v>
      </c>
      <c r="I4338" s="2" t="inlineStr">
        <is>
          <t>$</t>
        </is>
      </c>
      <c r="J4338" s="2">
        <f>HYPERLINK("https://app.astro.lead-studio.pro/product/c93bff55-e42a-4281-810f-9a70bcfa54c6")</f>
      </c>
    </row>
    <row r="4339" spans="1:10" customHeight="0">
      <c r="A4339" s="2" t="inlineStr">
        <is>
          <t>Плоттеры</t>
        </is>
      </c>
      <c r="B4339" s="2" t="inlineStr">
        <is>
          <t>CANON</t>
        </is>
      </c>
      <c r="C4339" s="2" t="inlineStr">
        <is>
          <t>4600C003</t>
        </is>
      </c>
      <c r="D4339" s="2" t="inlineStr">
        <is>
          <t>Плоттер Canon imagePROGRAF TX-3100 (4600C003) A0/36"</t>
        </is>
      </c>
      <c r="E4339" s="2" t="inlineStr">
        <is>
          <t>+ </t>
        </is>
      </c>
      <c r="F4339" s="2" t="inlineStr">
        <is>
          <t>+ </t>
        </is>
      </c>
      <c r="H4339" s="2">
        <v>4867</v>
      </c>
      <c r="I4339" s="2" t="inlineStr">
        <is>
          <t>$</t>
        </is>
      </c>
      <c r="J4339" s="2">
        <f>HYPERLINK("https://app.astro.lead-studio.pro/product/eebe6ecf-2833-4b0c-a12b-81cb84b1a619")</f>
      </c>
    </row>
    <row r="4340" spans="1:10" customHeight="0">
      <c r="A4340" s="2" t="inlineStr">
        <is>
          <t>Плоттеры</t>
        </is>
      </c>
      <c r="B4340" s="2" t="inlineStr">
        <is>
          <t>CANON</t>
        </is>
      </c>
      <c r="C4340" s="2" t="inlineStr">
        <is>
          <t>4602C003</t>
        </is>
      </c>
      <c r="D4340" s="2" t="inlineStr">
        <is>
          <t>Плоттер Canon imagePROGRAF TX-4100 (4602C003) A0/44"</t>
        </is>
      </c>
      <c r="E4340" s="2" t="inlineStr">
        <is>
          <t>+ </t>
        </is>
      </c>
      <c r="F4340" s="2" t="inlineStr">
        <is>
          <t>+ </t>
        </is>
      </c>
      <c r="H4340" s="2">
        <v>6153</v>
      </c>
      <c r="I4340" s="2" t="inlineStr">
        <is>
          <t>$</t>
        </is>
      </c>
      <c r="J4340" s="2">
        <f>HYPERLINK("https://app.astro.lead-studio.pro/product/4364ca5b-18e5-42a0-9e11-5483e95a20e5")</f>
      </c>
    </row>
    <row r="4341" spans="1:10" customHeight="0">
      <c r="A4341" s="2" t="inlineStr">
        <is>
          <t>Плоттеры</t>
        </is>
      </c>
      <c r="B4341" s="2" t="inlineStr">
        <is>
          <t>EPSON</t>
        </is>
      </c>
      <c r="C4341" s="2" t="inlineStr">
        <is>
          <t>C11CJ55301A0 / C11CJ55301A1</t>
        </is>
      </c>
      <c r="D4341" s="2" t="inlineStr">
        <is>
          <t>Плоттер Epson SureColor SC-T3405 (C11CJ55301A0 / C11CJ55301A1) A1/24"</t>
        </is>
      </c>
      <c r="E4341" s="2" t="inlineStr">
        <is>
          <t>+ </t>
        </is>
      </c>
      <c r="F4341" s="2" t="inlineStr">
        <is>
          <t>+ </t>
        </is>
      </c>
      <c r="H4341" s="2">
        <v>3618</v>
      </c>
      <c r="I4341" s="2" t="inlineStr">
        <is>
          <t>$</t>
        </is>
      </c>
      <c r="J4341" s="2">
        <f>HYPERLINK("https://app.astro.lead-studio.pro/product/b8f8699f-8512-4dd0-b765-f7fc6c6e9756")</f>
      </c>
    </row>
    <row r="4342" spans="1:10" customHeight="0">
      <c r="A4342" s="2" t="inlineStr">
        <is>
          <t>Плоттеры</t>
        </is>
      </c>
      <c r="B4342" s="2" t="inlineStr">
        <is>
          <t>EPSON</t>
        </is>
      </c>
      <c r="C4342" s="2" t="inlineStr">
        <is>
          <t>C11CH80301A0</t>
        </is>
      </c>
      <c r="D4342" s="2" t="inlineStr">
        <is>
          <t>Плоттер Epson SureColor SC-T3700D (C11CH80301A0) A1/24"</t>
        </is>
      </c>
      <c r="E4342" s="2" t="inlineStr">
        <is>
          <t>+ </t>
        </is>
      </c>
      <c r="F4342" s="2" t="inlineStr">
        <is>
          <t>+ </t>
        </is>
      </c>
      <c r="H4342" s="2">
        <v>6760</v>
      </c>
      <c r="I4342" s="2" t="inlineStr">
        <is>
          <t>$</t>
        </is>
      </c>
      <c r="J4342" s="2">
        <f>HYPERLINK("https://app.astro.lead-studio.pro/product/b6b9812b-dc69-4ad5-a027-3d2c662fd5ee")</f>
      </c>
    </row>
    <row r="4343" spans="1:10" customHeight="0">
      <c r="A4343" s="2" t="inlineStr">
        <is>
          <t>Плоттеры</t>
        </is>
      </c>
      <c r="B4343" s="2" t="inlineStr">
        <is>
          <t>EPSON</t>
        </is>
      </c>
      <c r="C4343" s="2" t="inlineStr">
        <is>
          <t>C11CH79301A1</t>
        </is>
      </c>
      <c r="D4343" s="2" t="inlineStr">
        <is>
          <t>Плоттер Epson SureColor SC-T3700E (C11CH79301A1) A1/24"</t>
        </is>
      </c>
      <c r="E4343" s="2" t="inlineStr">
        <is>
          <t>+ </t>
        </is>
      </c>
      <c r="F4343" s="2" t="inlineStr">
        <is>
          <t>+ </t>
        </is>
      </c>
      <c r="H4343" s="2">
        <v>6008</v>
      </c>
      <c r="I4343" s="2" t="inlineStr">
        <is>
          <t>$</t>
        </is>
      </c>
      <c r="J4343" s="2">
        <f>HYPERLINK("https://app.astro.lead-studio.pro/product/0eef47a9-50a0-4aa2-bf4e-723ceff95bc1")</f>
      </c>
    </row>
    <row r="4344" spans="1:10" customHeight="0">
      <c r="A4344" s="2" t="inlineStr">
        <is>
          <t>Плоттеры</t>
        </is>
      </c>
      <c r="B4344" s="2" t="inlineStr">
        <is>
          <t>EPSON</t>
        </is>
      </c>
      <c r="C4344" s="2" t="inlineStr">
        <is>
          <t>C11CJ56301A1</t>
        </is>
      </c>
      <c r="D4344" s="2" t="inlineStr">
        <is>
          <t>Плоттер Epson SureColor SC-T5405 (C11CJ56301A1) A0/36"</t>
        </is>
      </c>
      <c r="E4344" s="2" t="inlineStr">
        <is>
          <t>+ </t>
        </is>
      </c>
      <c r="F4344" s="2" t="inlineStr">
        <is>
          <t>+ </t>
        </is>
      </c>
      <c r="H4344" s="2">
        <v>3720</v>
      </c>
      <c r="I4344" s="2" t="inlineStr">
        <is>
          <t>$</t>
        </is>
      </c>
      <c r="J4344" s="2">
        <f>HYPERLINK("https://app.astro.lead-studio.pro/product/1d895176-317c-4f46-8f08-552ab3b84183")</f>
      </c>
    </row>
    <row r="4345" spans="1:10" customHeight="0">
      <c r="A4345" s="2" t="inlineStr">
        <is>
          <t>Плоттеры</t>
        </is>
      </c>
      <c r="B4345" s="2" t="inlineStr">
        <is>
          <t>HP</t>
        </is>
      </c>
      <c r="C4345" s="2" t="inlineStr">
        <is>
          <t>3EK10A</t>
        </is>
      </c>
      <c r="D4345" s="2" t="inlineStr">
        <is>
          <t>Плоттер HP Designjet T1600 (3EK10A) A0/36"</t>
        </is>
      </c>
      <c r="E4345" s="2" t="inlineStr">
        <is>
          <t>+ </t>
        </is>
      </c>
      <c r="F4345" s="2" t="inlineStr">
        <is>
          <t>+ </t>
        </is>
      </c>
      <c r="H4345" s="2">
        <v>7006</v>
      </c>
      <c r="I4345" s="2" t="inlineStr">
        <is>
          <t>$</t>
        </is>
      </c>
      <c r="J4345" s="2">
        <f>HYPERLINK("https://app.astro.lead-studio.pro/product/c92ccbc8-02d9-4022-8d13-9ccdd3b94eea")</f>
      </c>
    </row>
    <row r="4346" spans="1:10" customHeight="0">
      <c r="A4346" s="2" t="inlineStr">
        <is>
          <t>Плоттеры</t>
        </is>
      </c>
      <c r="B4346" s="2" t="inlineStr">
        <is>
          <t>HP</t>
        </is>
      </c>
      <c r="C4346" s="2" t="inlineStr">
        <is>
          <t>3EK11A</t>
        </is>
      </c>
      <c r="D4346" s="2" t="inlineStr">
        <is>
          <t>Плоттер HP Designjet T1600 PostScript (3EK11A) A0/36"</t>
        </is>
      </c>
      <c r="E4346" s="2" t="inlineStr">
        <is>
          <t>+ </t>
        </is>
      </c>
      <c r="F4346" s="2" t="inlineStr">
        <is>
          <t>+ </t>
        </is>
      </c>
      <c r="H4346" s="2">
        <v>9271</v>
      </c>
      <c r="I4346" s="2" t="inlineStr">
        <is>
          <t>$</t>
        </is>
      </c>
      <c r="J4346" s="2">
        <f>HYPERLINK("https://app.astro.lead-studio.pro/product/95bad089-1c3f-4d6e-9a99-fa24dc249b57")</f>
      </c>
    </row>
    <row r="4347" spans="1:10" customHeight="0">
      <c r="A4347" s="2" t="inlineStr">
        <is>
          <t>Плоттеры</t>
        </is>
      </c>
      <c r="B4347" s="2" t="inlineStr">
        <is>
          <t>HP</t>
        </is>
      </c>
      <c r="C4347" s="2" t="inlineStr">
        <is>
          <t>3EK13A</t>
        </is>
      </c>
      <c r="D4347" s="2" t="inlineStr">
        <is>
          <t>Плоттер HP Designjet T1600dr PostScript (3EK13A) A0/36"</t>
        </is>
      </c>
      <c r="E4347" s="2" t="inlineStr">
        <is>
          <t>+ </t>
        </is>
      </c>
      <c r="F4347" s="2" t="inlineStr">
        <is>
          <t>+ </t>
        </is>
      </c>
      <c r="H4347" s="2">
        <v>11135</v>
      </c>
      <c r="I4347" s="2" t="inlineStr">
        <is>
          <t>$</t>
        </is>
      </c>
      <c r="J4347" s="2">
        <f>HYPERLINK("https://app.astro.lead-studio.pro/product/314fdbe2-8f3d-4861-9eca-b69a32f47742")</f>
      </c>
    </row>
    <row r="4348" spans="1:10" customHeight="0">
      <c r="A4348" s="2" t="inlineStr">
        <is>
          <t>Плоттеры</t>
        </is>
      </c>
      <c r="B4348" s="2" t="inlineStr">
        <is>
          <t>HP</t>
        </is>
      </c>
      <c r="C4348" s="2" t="inlineStr">
        <is>
          <t>W6B56A</t>
        </is>
      </c>
      <c r="D4348" s="2" t="inlineStr">
        <is>
          <t>Плоттер HP Designjet T1700dr (W6B56A) A0/44"</t>
        </is>
      </c>
      <c r="E4348" s="2" t="inlineStr">
        <is>
          <t>+ </t>
        </is>
      </c>
      <c r="F4348" s="2" t="inlineStr">
        <is>
          <t>+ </t>
        </is>
      </c>
      <c r="H4348" s="2">
        <v>8455</v>
      </c>
      <c r="I4348" s="2" t="inlineStr">
        <is>
          <t>$</t>
        </is>
      </c>
      <c r="J4348" s="2">
        <f>HYPERLINK("https://app.astro.lead-studio.pro/product/3a01a889-8fb3-4861-81f6-c733b7621409")</f>
      </c>
    </row>
    <row r="4349" spans="1:10" customHeight="0">
      <c r="A4349" s="2" t="inlineStr">
        <is>
          <t>Плоттеры</t>
        </is>
      </c>
      <c r="B4349" s="2" t="inlineStr">
        <is>
          <t>HP</t>
        </is>
      </c>
      <c r="C4349" s="2" t="inlineStr">
        <is>
          <t>5HB07A</t>
        </is>
      </c>
      <c r="D4349" s="2" t="inlineStr">
        <is>
          <t>Плоттер HP Designjet T230 (5HB07A) A1/24" (без подставки)</t>
        </is>
      </c>
      <c r="E4349" s="2" t="inlineStr">
        <is>
          <t>+ </t>
        </is>
      </c>
      <c r="F4349" s="2" t="inlineStr">
        <is>
          <t>+ </t>
        </is>
      </c>
      <c r="H4349" s="2">
        <v>1157</v>
      </c>
      <c r="I4349" s="2" t="inlineStr">
        <is>
          <t>$</t>
        </is>
      </c>
      <c r="J4349" s="2">
        <f>HYPERLINK("https://app.astro.lead-studio.pro/product/a86de7e2-4979-4edd-afae-28d5ea577d28")</f>
      </c>
    </row>
    <row r="4350" spans="1:10" customHeight="0">
      <c r="A4350" s="2" t="inlineStr">
        <is>
          <t>Плоттеры</t>
        </is>
      </c>
      <c r="B4350" s="2" t="inlineStr">
        <is>
          <t>HP</t>
        </is>
      </c>
      <c r="C4350" s="2" t="inlineStr">
        <is>
          <t>3EK15A</t>
        </is>
      </c>
      <c r="D4350" s="2" t="inlineStr">
        <is>
          <t>Плоттер HP Designjet T2600dr PostScript MFP (3EK15A) A0+/36"</t>
        </is>
      </c>
      <c r="E4350" s="2" t="inlineStr">
        <is>
          <t>+ </t>
        </is>
      </c>
      <c r="F4350" s="2" t="inlineStr">
        <is>
          <t>+ </t>
        </is>
      </c>
      <c r="H4350" s="2">
        <v>20595</v>
      </c>
      <c r="I4350" s="2" t="inlineStr">
        <is>
          <t>$</t>
        </is>
      </c>
      <c r="J4350" s="2">
        <f>HYPERLINK("https://app.astro.lead-studio.pro/product/04bc7b02-648f-450e-9306-9f63a3946197")</f>
      </c>
    </row>
    <row r="4351" spans="1:10" customHeight="0">
      <c r="A4351" s="2" t="inlineStr">
        <is>
          <t>Плоттеры</t>
        </is>
      </c>
      <c r="B4351" s="2" t="inlineStr">
        <is>
          <t>HP</t>
        </is>
      </c>
      <c r="C4351" s="2" t="inlineStr">
        <is>
          <t>5HB09A</t>
        </is>
      </c>
      <c r="D4351" s="2" t="inlineStr">
        <is>
          <t>Плоттер HP Designjet T630 (5HB09A) A1/24"</t>
        </is>
      </c>
      <c r="E4351" s="2" t="inlineStr">
        <is>
          <t>+ </t>
        </is>
      </c>
      <c r="F4351" s="2" t="inlineStr">
        <is>
          <t>+ </t>
        </is>
      </c>
      <c r="H4351" s="2">
        <v>1468</v>
      </c>
      <c r="I4351" s="2" t="inlineStr">
        <is>
          <t>$</t>
        </is>
      </c>
      <c r="J4351" s="2">
        <f>HYPERLINK("https://app.astro.lead-studio.pro/product/75080a77-0ebc-43da-87e8-341610df09a9")</f>
      </c>
    </row>
    <row r="4352" spans="1:10" customHeight="0">
      <c r="A4352" s="2" t="inlineStr">
        <is>
          <t>Плоттеры</t>
        </is>
      </c>
      <c r="B4352" s="2" t="inlineStr">
        <is>
          <t>HP</t>
        </is>
      </c>
      <c r="C4352" s="2" t="inlineStr">
        <is>
          <t>5HB11A</t>
        </is>
      </c>
      <c r="D4352" s="2" t="inlineStr">
        <is>
          <t>Плоттер HP Designjet T630 (5HB11A) A0/36"</t>
        </is>
      </c>
      <c r="E4352" s="2" t="inlineStr">
        <is>
          <t>+ </t>
        </is>
      </c>
      <c r="F4352" s="2" t="inlineStr">
        <is>
          <t>+ </t>
        </is>
      </c>
      <c r="H4352" s="2">
        <v>2059</v>
      </c>
      <c r="I4352" s="2" t="inlineStr">
        <is>
          <t>$</t>
        </is>
      </c>
      <c r="J4352" s="2">
        <f>HYPERLINK("https://app.astro.lead-studio.pro/product/51ca80ed-c145-49e0-a193-2637863f0a35")</f>
      </c>
    </row>
    <row r="4353" spans="1:10" customHeight="0">
      <c r="A4353" s="2" t="inlineStr">
        <is>
          <t>Плоттеры</t>
        </is>
      </c>
      <c r="B4353" s="2" t="inlineStr">
        <is>
          <t>HP</t>
        </is>
      </c>
      <c r="C4353" s="2" t="inlineStr">
        <is>
          <t>5HB10A</t>
        </is>
      </c>
      <c r="D4353" s="2" t="inlineStr">
        <is>
          <t>Плоттер HP Designjet T650 (5HB10A) A0/36"</t>
        </is>
      </c>
      <c r="E4353" s="2" t="inlineStr">
        <is>
          <t>+ </t>
        </is>
      </c>
      <c r="F4353" s="2" t="inlineStr">
        <is>
          <t>+ </t>
        </is>
      </c>
      <c r="H4353" s="2">
        <v>2750</v>
      </c>
      <c r="I4353" s="2" t="inlineStr">
        <is>
          <t>$</t>
        </is>
      </c>
      <c r="J4353" s="2">
        <f>HYPERLINK("https://app.astro.lead-studio.pro/product/cd4a6cbd-9413-4cdc-83bd-99816639f939")</f>
      </c>
    </row>
    <row r="4354" spans="1:10" customHeight="0">
      <c r="A4354" s="2" t="inlineStr">
        <is>
          <t>Плоттеры</t>
        </is>
      </c>
      <c r="B4354" s="2" t="inlineStr">
        <is>
          <t>HP</t>
        </is>
      </c>
      <c r="C4354" s="2" t="inlineStr">
        <is>
          <t>F9A28D</t>
        </is>
      </c>
      <c r="D4354" s="2" t="inlineStr">
        <is>
          <t>Плоттер HP Designjet T830 (F9A28D) A1/24"</t>
        </is>
      </c>
      <c r="E4354" s="2" t="inlineStr">
        <is>
          <t>+ </t>
        </is>
      </c>
      <c r="F4354" s="2" t="inlineStr">
        <is>
          <t>+ </t>
        </is>
      </c>
      <c r="H4354" s="2">
        <v>5516</v>
      </c>
      <c r="I4354" s="2" t="inlineStr">
        <is>
          <t>$</t>
        </is>
      </c>
      <c r="J4354" s="2">
        <f>HYPERLINK("https://app.astro.lead-studio.pro/product/afd4472d-328f-4847-9968-8abac9bbf8dd")</f>
      </c>
    </row>
    <row r="4355" spans="1:10" customHeight="0">
      <c r="A4355" s="2" t="inlineStr">
        <is>
          <t>Плоттеры</t>
        </is>
      </c>
      <c r="B4355" s="2" t="inlineStr">
        <is>
          <t>HP</t>
        </is>
      </c>
      <c r="C4355" s="2" t="inlineStr">
        <is>
          <t>2Y9H0A</t>
        </is>
      </c>
      <c r="D4355" s="2" t="inlineStr">
        <is>
          <t>Плоттер HP Designjet T850 (2Y9H0A) A0/36"</t>
        </is>
      </c>
      <c r="E4355" s="2" t="inlineStr">
        <is>
          <t>+ </t>
        </is>
      </c>
      <c r="F4355" s="2" t="inlineStr">
        <is>
          <t>+ </t>
        </is>
      </c>
      <c r="H4355" s="2">
        <v>4671</v>
      </c>
      <c r="I4355" s="2" t="inlineStr">
        <is>
          <t>$</t>
        </is>
      </c>
      <c r="J4355" s="2">
        <f>HYPERLINK("https://app.astro.lead-studio.pro/product/6e761077-b1e1-4ad0-b277-e33703bf2ca4")</f>
      </c>
    </row>
    <row r="4356" spans="1:10" customHeight="0">
      <c r="A4356" s="2" t="inlineStr">
        <is>
          <t>Плоттеры</t>
        </is>
      </c>
      <c r="B4356" s="2" t="inlineStr">
        <is>
          <t>HP</t>
        </is>
      </c>
      <c r="C4356" s="2" t="inlineStr">
        <is>
          <t>T8W15A</t>
        </is>
      </c>
      <c r="D4356" s="2" t="inlineStr">
        <is>
          <t>Плоттер HP Designjet Z6 PostScript (T8W15A) A1/24"</t>
        </is>
      </c>
      <c r="E4356" s="2" t="inlineStr">
        <is>
          <t>+ </t>
        </is>
      </c>
      <c r="F4356" s="2" t="inlineStr">
        <is>
          <t>+ </t>
        </is>
      </c>
      <c r="H4356" s="2">
        <v>4837</v>
      </c>
      <c r="I4356" s="2" t="inlineStr">
        <is>
          <t>$</t>
        </is>
      </c>
      <c r="J4356" s="2">
        <f>HYPERLINK("https://app.astro.lead-studio.pro/product/50607a12-7b9b-45aa-9a7f-19f1ac798c87")</f>
      </c>
    </row>
    <row r="4357" spans="1:10" customHeight="0">
      <c r="A4357" s="2" t="inlineStr">
        <is>
          <t>Принтеры</t>
        </is>
      </c>
      <c r="B4357" s="2" t="inlineStr">
        <is>
          <t>CANON</t>
        </is>
      </c>
      <c r="C4357" s="2" t="inlineStr">
        <is>
          <t>5159C001</t>
        </is>
      </c>
      <c r="D4357" s="2" t="inlineStr">
        <is>
          <t>Принтер лазерный Canon i-Sensys LBP633Cdw (5159C001) A4 Duplex WiFi белый</t>
        </is>
      </c>
      <c r="E4357" s="2" t="inlineStr">
        <is>
          <t>+ </t>
        </is>
      </c>
      <c r="F4357" s="2" t="inlineStr">
        <is>
          <t>+ </t>
        </is>
      </c>
      <c r="H4357" s="2">
        <v>355</v>
      </c>
      <c r="I4357" s="2" t="inlineStr">
        <is>
          <t>$</t>
        </is>
      </c>
      <c r="J4357" s="2">
        <f>HYPERLINK("https://app.astro.lead-studio.pro/product/6a2d5465-883d-4c21-a232-aa6802b65aad")</f>
      </c>
    </row>
    <row r="4358" spans="1:10" customHeight="0">
      <c r="A4358" s="2" t="inlineStr">
        <is>
          <t>Принтеры</t>
        </is>
      </c>
      <c r="B4358" s="2" t="inlineStr">
        <is>
          <t>CANON</t>
        </is>
      </c>
      <c r="C4358" s="2" t="inlineStr">
        <is>
          <t>5456C007</t>
        </is>
      </c>
      <c r="D4358" s="2" t="inlineStr">
        <is>
          <t>Принтер лазерный Canon i-Sensys LBP673Cdw (5456C007) A4 Duplex Net WiFi белый</t>
        </is>
      </c>
      <c r="E4358" s="2" t="inlineStr">
        <is>
          <t>+ </t>
        </is>
      </c>
      <c r="F4358" s="2" t="inlineStr">
        <is>
          <t>+ </t>
        </is>
      </c>
      <c r="H4358" s="2">
        <v>494</v>
      </c>
      <c r="I4358" s="2" t="inlineStr">
        <is>
          <t>$</t>
        </is>
      </c>
      <c r="J4358" s="2">
        <f>HYPERLINK("https://app.astro.lead-studio.pro/product/f7d56474-8fd2-4406-b62f-7d5e569c2cb7")</f>
      </c>
    </row>
    <row r="4359" spans="1:10" customHeight="0">
      <c r="A4359" s="2" t="inlineStr">
        <is>
          <t>Принтеры</t>
        </is>
      </c>
      <c r="B4359" s="2" t="inlineStr">
        <is>
          <t>HP</t>
        </is>
      </c>
      <c r="C4359" s="2" t="inlineStr">
        <is>
          <t>4ZB95A</t>
        </is>
      </c>
      <c r="D4359" s="2" t="inlineStr">
        <is>
          <t>Принтер лазерный HP Color LaserJet 150nw (4ZB95A) A4 WiFi белый</t>
        </is>
      </c>
      <c r="E4359" s="2" t="inlineStr">
        <is>
          <t>++ </t>
        </is>
      </c>
      <c r="F4359" s="2" t="inlineStr">
        <is>
          <t>++ </t>
        </is>
      </c>
      <c r="H4359" s="2">
        <v>332</v>
      </c>
      <c r="I4359" s="2" t="inlineStr">
        <is>
          <t>$</t>
        </is>
      </c>
      <c r="J4359" s="2">
        <f>HYPERLINK("https://app.astro.lead-studio.pro/product/3b79deda-7f26-4650-8dd4-aee0d7e24a51")</f>
      </c>
    </row>
    <row r="4360" spans="1:10" customHeight="0">
      <c r="A4360" s="2" t="inlineStr">
        <is>
          <t>Принтеры</t>
        </is>
      </c>
      <c r="B4360" s="2" t="inlineStr">
        <is>
          <t>HP</t>
        </is>
      </c>
      <c r="C4360" s="2" t="inlineStr">
        <is>
          <t>7ZU81A</t>
        </is>
      </c>
      <c r="D4360" s="2" t="inlineStr">
        <is>
          <t>Принтер лазерный HP Color LaserJet Enterprise M554dn (7ZU81A) A4 Duplex белый</t>
        </is>
      </c>
      <c r="E4360" s="2" t="inlineStr">
        <is>
          <t>+ </t>
        </is>
      </c>
      <c r="F4360" s="2" t="inlineStr">
        <is>
          <t>+ </t>
        </is>
      </c>
      <c r="H4360" s="2">
        <v>778</v>
      </c>
      <c r="I4360" s="2" t="inlineStr">
        <is>
          <t>$</t>
        </is>
      </c>
      <c r="J4360" s="2">
        <f>HYPERLINK("https://app.astro.lead-studio.pro/product/bb0e7aae-2fee-479c-b47c-2d4892087180")</f>
      </c>
    </row>
    <row r="4361" spans="1:10" customHeight="0">
      <c r="A4361" s="2" t="inlineStr">
        <is>
          <t>Принтеры</t>
        </is>
      </c>
      <c r="B4361" s="2" t="inlineStr">
        <is>
          <t>HP</t>
        </is>
      </c>
      <c r="C4361" s="2" t="inlineStr">
        <is>
          <t>J7Z99A</t>
        </is>
      </c>
      <c r="D4361" s="2" t="inlineStr">
        <is>
          <t>Принтер лазерный HP Color LaserJet Enterprise M652dn (J7Z99A) A4 Duplex Net белый</t>
        </is>
      </c>
      <c r="E4361" s="2" t="inlineStr">
        <is>
          <t>+ </t>
        </is>
      </c>
      <c r="F4361" s="2" t="inlineStr">
        <is>
          <t>+ </t>
        </is>
      </c>
      <c r="H4361" s="2">
        <v>2058</v>
      </c>
      <c r="I4361" s="2" t="inlineStr">
        <is>
          <t>$</t>
        </is>
      </c>
      <c r="J4361" s="2">
        <f>HYPERLINK("https://app.astro.lead-studio.pro/product/c67c1fe6-b495-4335-9b3f-656fb836674c")</f>
      </c>
    </row>
    <row r="4362" spans="1:10" customHeight="0">
      <c r="A4362" s="2" t="inlineStr">
        <is>
          <t>Принтеры</t>
        </is>
      </c>
      <c r="B4362" s="2" t="inlineStr">
        <is>
          <t>HP</t>
        </is>
      </c>
      <c r="C4362" s="2" t="inlineStr">
        <is>
          <t>T3U51A</t>
        </is>
      </c>
      <c r="D4362" s="2" t="inlineStr">
        <is>
          <t>Принтер лазерный HP Color LaserJet Enterprise M856dn (T3U51A) A3 Duplex белый</t>
        </is>
      </c>
      <c r="E4362" s="2" t="inlineStr">
        <is>
          <t>+ </t>
        </is>
      </c>
      <c r="F4362" s="2" t="inlineStr">
        <is>
          <t>+ </t>
        </is>
      </c>
      <c r="H4362" s="2">
        <v>5505</v>
      </c>
      <c r="I4362" s="2" t="inlineStr">
        <is>
          <t>$</t>
        </is>
      </c>
      <c r="J4362" s="2">
        <f>HYPERLINK("https://app.astro.lead-studio.pro/product/6920e940-9893-4353-a902-d251c8d8754b")</f>
      </c>
    </row>
    <row r="4363" spans="1:10" customHeight="0">
      <c r="A4363" s="2" t="inlineStr">
        <is>
          <t>Принтеры</t>
        </is>
      </c>
      <c r="B4363" s="2" t="inlineStr">
        <is>
          <t>HP</t>
        </is>
      </c>
      <c r="C4363" s="2" t="inlineStr">
        <is>
          <t>CE712A</t>
        </is>
      </c>
      <c r="D4363" s="2" t="inlineStr">
        <is>
          <t>Принтер лазерный HP Color LaserJet Pro CP5225DN (CE712A) A3 Duplex Net черный</t>
        </is>
      </c>
      <c r="E4363" s="2" t="inlineStr">
        <is>
          <t>+++ </t>
        </is>
      </c>
      <c r="F4363" s="2" t="inlineStr">
        <is>
          <t>+++ </t>
        </is>
      </c>
      <c r="H4363" s="2">
        <v>1445</v>
      </c>
      <c r="I4363" s="2" t="inlineStr">
        <is>
          <t>$</t>
        </is>
      </c>
      <c r="J4363" s="2">
        <f>HYPERLINK("https://app.astro.lead-studio.pro/product/a4cc6277-1466-4287-8b2a-746c89b52234")</f>
      </c>
    </row>
    <row r="4364" spans="1:10" customHeight="0">
      <c r="A4364" s="2" t="inlineStr">
        <is>
          <t>Принтеры</t>
        </is>
      </c>
      <c r="B4364" s="2" t="inlineStr">
        <is>
          <t>HP</t>
        </is>
      </c>
      <c r="C4364" s="2" t="inlineStr">
        <is>
          <t>CE711A</t>
        </is>
      </c>
      <c r="D4364" s="2" t="inlineStr">
        <is>
          <t>Принтер лазерный HP Color LaserJet Pro CP5225N (CE711A) A3 Net серый</t>
        </is>
      </c>
      <c r="E4364" s="2" t="inlineStr">
        <is>
          <t>+ </t>
        </is>
      </c>
      <c r="F4364" s="2" t="inlineStr">
        <is>
          <t>+ </t>
        </is>
      </c>
      <c r="H4364" s="2">
        <v>1352</v>
      </c>
      <c r="I4364" s="2" t="inlineStr">
        <is>
          <t>$</t>
        </is>
      </c>
      <c r="J4364" s="2">
        <f>HYPERLINK("https://app.astro.lead-studio.pro/product/1dc275d2-616a-4936-bd21-446ed29cfc5e")</f>
      </c>
    </row>
    <row r="4365" spans="1:10" customHeight="0">
      <c r="A4365" s="2" t="inlineStr">
        <is>
          <t>Принтеры</t>
        </is>
      </c>
      <c r="B4365" s="2" t="inlineStr">
        <is>
          <t>HP</t>
        </is>
      </c>
      <c r="C4365" s="2" t="inlineStr">
        <is>
          <t>7KW64A</t>
        </is>
      </c>
      <c r="D4365" s="2" t="inlineStr">
        <is>
          <t>Принтер лазерный HP Color LaserJet Pro M255dw (7KW64A) A4 Duplex Net WiFi белый</t>
        </is>
      </c>
      <c r="E4365" s="2" t="inlineStr">
        <is>
          <t>+ </t>
        </is>
      </c>
      <c r="F4365" s="2" t="inlineStr">
        <is>
          <t>+ </t>
        </is>
      </c>
      <c r="H4365" s="2">
        <v>428</v>
      </c>
      <c r="I4365" s="2" t="inlineStr">
        <is>
          <t>$</t>
        </is>
      </c>
      <c r="J4365" s="2">
        <f>HYPERLINK("https://app.astro.lead-studio.pro/product/71eeabe6-3229-4369-8488-9ff9bcebe3af")</f>
      </c>
    </row>
    <row r="4366" spans="1:10" customHeight="0">
      <c r="A4366" s="2" t="inlineStr">
        <is>
          <t>Принтеры</t>
        </is>
      </c>
      <c r="B4366" s="2" t="inlineStr">
        <is>
          <t>HP</t>
        </is>
      </c>
      <c r="C4366" s="2" t="inlineStr">
        <is>
          <t>W1Y44A</t>
        </is>
      </c>
      <c r="D4366" s="2" t="inlineStr">
        <is>
          <t>Принтер лазерный HP Color LaserJet Pro M454dn (W1Y44A) A4 Duplex Net белый</t>
        </is>
      </c>
      <c r="E4366" s="2" t="inlineStr">
        <is>
          <t>+ </t>
        </is>
      </c>
      <c r="F4366" s="2" t="inlineStr">
        <is>
          <t>+ </t>
        </is>
      </c>
      <c r="H4366" s="2">
        <v>831</v>
      </c>
      <c r="I4366" s="2" t="inlineStr">
        <is>
          <t>$</t>
        </is>
      </c>
      <c r="J4366" s="2">
        <f>HYPERLINK("https://app.astro.lead-studio.pro/product/f8490150-1888-4193-9b9d-59f7fc1e09c7")</f>
      </c>
    </row>
    <row r="4367" spans="1:10" customHeight="0">
      <c r="A4367" s="2" t="inlineStr">
        <is>
          <t>Принтеры</t>
        </is>
      </c>
      <c r="B4367" s="2" t="inlineStr">
        <is>
          <t>HP</t>
        </is>
      </c>
      <c r="C4367" s="2" t="inlineStr">
        <is>
          <t>W1Y45A</t>
        </is>
      </c>
      <c r="D4367" s="2" t="inlineStr">
        <is>
          <t>Принтер лазерный HP Color LaserJet Pro M454dw (W1Y45A) A4 Duplex Net WiFi белый</t>
        </is>
      </c>
      <c r="E4367" s="2" t="inlineStr">
        <is>
          <t>+ </t>
        </is>
      </c>
      <c r="F4367" s="2" t="inlineStr">
        <is>
          <t>+ </t>
        </is>
      </c>
      <c r="H4367" s="2">
        <v>540</v>
      </c>
      <c r="I4367" s="2" t="inlineStr">
        <is>
          <t>$</t>
        </is>
      </c>
      <c r="J4367" s="2">
        <f>HYPERLINK("https://app.astro.lead-studio.pro/product/f75fba5e-01b0-4ab4-9295-f1f7e801de38")</f>
      </c>
    </row>
    <row r="4368" spans="1:10" customHeight="0">
      <c r="A4368" s="2" t="inlineStr">
        <is>
          <t>Принтеры</t>
        </is>
      </c>
      <c r="B4368" s="2" t="inlineStr">
        <is>
          <t>HP</t>
        </is>
      </c>
      <c r="C4368" s="2" t="inlineStr">
        <is>
          <t>3PZ95A</t>
        </is>
      </c>
      <c r="D4368" s="2" t="inlineStr">
        <is>
          <t>Принтер лазерный HP Color LaserJet Pro M455dn (3PZ95A) A4 Duplex Net белый</t>
        </is>
      </c>
      <c r="E4368" s="2" t="inlineStr">
        <is>
          <t>++ </t>
        </is>
      </c>
      <c r="F4368" s="2" t="inlineStr">
        <is>
          <t>++ </t>
        </is>
      </c>
      <c r="H4368" s="2">
        <v>551</v>
      </c>
      <c r="I4368" s="2" t="inlineStr">
        <is>
          <t>$</t>
        </is>
      </c>
      <c r="J4368" s="2">
        <f>HYPERLINK("https://app.astro.lead-studio.pro/product/4fda105b-b54f-4ce4-9d08-13d792190a37")</f>
      </c>
    </row>
    <row r="4369" spans="1:10" customHeight="0">
      <c r="A4369" s="2" t="inlineStr">
        <is>
          <t>Принтеры</t>
        </is>
      </c>
      <c r="B4369" s="2" t="inlineStr">
        <is>
          <t>HP</t>
        </is>
      </c>
      <c r="C4369" s="2" t="inlineStr">
        <is>
          <t>7UQ75A</t>
        </is>
      </c>
      <c r="D4369" s="2" t="inlineStr">
        <is>
          <t>Принтер лазерный HP LaserJet Enterprise 408dn (7UQ75A) A4 Duplex Net белый</t>
        </is>
      </c>
      <c r="E4369" s="2" t="inlineStr">
        <is>
          <t>++ </t>
        </is>
      </c>
      <c r="F4369" s="2" t="inlineStr">
        <is>
          <t>++ </t>
        </is>
      </c>
      <c r="H4369" s="2">
        <v>394</v>
      </c>
      <c r="I4369" s="2" t="inlineStr">
        <is>
          <t>$</t>
        </is>
      </c>
      <c r="J4369" s="2">
        <f>HYPERLINK("https://app.astro.lead-studio.pro/product/bcafb0dc-116e-4904-a57c-62aaecfb62e5")</f>
      </c>
    </row>
    <row r="4370" spans="1:10" customHeight="0">
      <c r="A4370" s="2" t="inlineStr">
        <is>
          <t>Принтеры</t>
        </is>
      </c>
      <c r="B4370" s="2" t="inlineStr">
        <is>
          <t>HP</t>
        </is>
      </c>
      <c r="C4370" s="2" t="inlineStr">
        <is>
          <t>CZ244A</t>
        </is>
      </c>
      <c r="D4370" s="2" t="inlineStr">
        <is>
          <t>Принтер лазерный HP LaserJet Enterprise 800 M806dn (CZ244A) A3 Duplex черный</t>
        </is>
      </c>
      <c r="E4370" s="2" t="inlineStr">
        <is>
          <t>+ </t>
        </is>
      </c>
      <c r="F4370" s="2" t="inlineStr">
        <is>
          <t>+ </t>
        </is>
      </c>
      <c r="H4370" s="2">
        <v>5719</v>
      </c>
      <c r="I4370" s="2" t="inlineStr">
        <is>
          <t>$</t>
        </is>
      </c>
      <c r="J4370" s="2">
        <f>HYPERLINK("https://app.astro.lead-studio.pro/product/daff2287-9dba-4c28-8024-6572dbc2e61e")</f>
      </c>
    </row>
    <row r="4371" spans="1:10" customHeight="0">
      <c r="A4371" s="2" t="inlineStr">
        <is>
          <t>Принтеры</t>
        </is>
      </c>
      <c r="B4371" s="2" t="inlineStr">
        <is>
          <t>HP</t>
        </is>
      </c>
      <c r="C4371" s="2" t="inlineStr">
        <is>
          <t>3PZ15A</t>
        </is>
      </c>
      <c r="D4371" s="2" t="inlineStr">
        <is>
          <t>Принтер лазерный HP LaserJet Enterprise M406dn (3PZ15A) A4 Duplex Net белый</t>
        </is>
      </c>
      <c r="E4371" s="2" t="inlineStr">
        <is>
          <t>++ </t>
        </is>
      </c>
      <c r="F4371" s="2" t="inlineStr">
        <is>
          <t>++ </t>
        </is>
      </c>
      <c r="H4371" s="2">
        <v>1351</v>
      </c>
      <c r="I4371" s="2" t="inlineStr">
        <is>
          <t>$</t>
        </is>
      </c>
      <c r="J4371" s="2">
        <f>HYPERLINK("https://app.astro.lead-studio.pro/product/6d269ddd-ad59-40bf-8077-bd9237a0ad47")</f>
      </c>
    </row>
    <row r="4372" spans="1:10" customHeight="0">
      <c r="A4372" s="2" t="inlineStr">
        <is>
          <t>Принтеры</t>
        </is>
      </c>
      <c r="B4372" s="2" t="inlineStr">
        <is>
          <t>HP</t>
        </is>
      </c>
      <c r="C4372" s="2" t="inlineStr">
        <is>
          <t>1PV87A</t>
        </is>
      </c>
      <c r="D4372" s="2" t="inlineStr">
        <is>
          <t>Принтер лазерный HP LaserJet Enterprise M507dn (1PV87A) A4 Duplex белый</t>
        </is>
      </c>
      <c r="E4372" s="2" t="inlineStr">
        <is>
          <t>+++ </t>
        </is>
      </c>
      <c r="F4372" s="2" t="inlineStr">
        <is>
          <t>+++ </t>
        </is>
      </c>
      <c r="H4372" s="2">
        <v>527</v>
      </c>
      <c r="I4372" s="2" t="inlineStr">
        <is>
          <t>$</t>
        </is>
      </c>
      <c r="J4372" s="2">
        <f>HYPERLINK("https://app.astro.lead-studio.pro/product/8ca202b8-3d7c-40f5-937e-45e35c31f28c")</f>
      </c>
    </row>
    <row r="4373" spans="1:10" customHeight="0">
      <c r="A4373" s="2" t="inlineStr">
        <is>
          <t>Принтеры</t>
        </is>
      </c>
      <c r="B4373" s="2" t="inlineStr">
        <is>
          <t>HP</t>
        </is>
      </c>
      <c r="C4373" s="2" t="inlineStr">
        <is>
          <t>7PS84A</t>
        </is>
      </c>
      <c r="D4373" s="2" t="inlineStr">
        <is>
          <t>Принтер лазерный HP LaserJet Enterprise M611dn (7PS84A) A4 Duplex Net белый</t>
        </is>
      </c>
      <c r="E4373" s="2" t="inlineStr">
        <is>
          <t>+++ </t>
        </is>
      </c>
      <c r="F4373" s="2" t="inlineStr">
        <is>
          <t>+++ </t>
        </is>
      </c>
      <c r="H4373" s="2">
        <v>869</v>
      </c>
      <c r="I4373" s="2" t="inlineStr">
        <is>
          <t>$</t>
        </is>
      </c>
      <c r="J4373" s="2">
        <f>HYPERLINK("https://app.astro.lead-studio.pro/product/c21a715b-64ec-4bd3-8425-5ed5a2f02415")</f>
      </c>
    </row>
    <row r="4374" spans="1:10" customHeight="0">
      <c r="A4374" s="2" t="inlineStr">
        <is>
          <t>Принтеры</t>
        </is>
      </c>
      <c r="B4374" s="2" t="inlineStr">
        <is>
          <t>HP</t>
        </is>
      </c>
      <c r="C4374" s="2" t="inlineStr">
        <is>
          <t>7PS86A</t>
        </is>
      </c>
      <c r="D4374" s="2" t="inlineStr">
        <is>
          <t>Принтер лазерный HP LaserJet Enterprise M612dn (7PS86A) A4 Duplex Net белый</t>
        </is>
      </c>
      <c r="E4374" s="2" t="inlineStr">
        <is>
          <t>+ </t>
        </is>
      </c>
      <c r="F4374" s="2" t="inlineStr">
        <is>
          <t>+ </t>
        </is>
      </c>
      <c r="H4374" s="2">
        <v>1093</v>
      </c>
      <c r="I4374" s="2" t="inlineStr">
        <is>
          <t>$</t>
        </is>
      </c>
      <c r="J4374" s="2">
        <f>HYPERLINK("https://app.astro.lead-studio.pro/product/27f03f81-0a12-4c16-9fc4-31c8869b1f06")</f>
      </c>
    </row>
    <row r="4375" spans="1:10" customHeight="0">
      <c r="A4375" s="2" t="inlineStr">
        <is>
          <t>Принтеры</t>
        </is>
      </c>
      <c r="B4375" s="2" t="inlineStr">
        <is>
          <t>HP</t>
        </is>
      </c>
      <c r="C4375" s="2" t="inlineStr">
        <is>
          <t>2Z610A</t>
        </is>
      </c>
      <c r="D4375" s="2" t="inlineStr">
        <is>
          <t>Принтер лазерный HP LaserJet Pro 4003dw (2Z610A) A4 Duplex Net WiFi белый</t>
        </is>
      </c>
      <c r="E4375" s="2" t="inlineStr">
        <is>
          <t>+++ </t>
        </is>
      </c>
      <c r="F4375" s="2" t="inlineStr">
        <is>
          <t>+++ </t>
        </is>
      </c>
      <c r="H4375" s="2">
        <v>326</v>
      </c>
      <c r="I4375" s="2" t="inlineStr">
        <is>
          <t>$</t>
        </is>
      </c>
      <c r="J4375" s="2">
        <f>HYPERLINK("https://app.astro.lead-studio.pro/product/01e3a59c-fc05-457f-84a6-fd9f3545e5d3")</f>
      </c>
    </row>
    <row r="4376" spans="1:10" customHeight="0">
      <c r="A4376" s="2" t="inlineStr">
        <is>
          <t>Принтеры</t>
        </is>
      </c>
      <c r="B4376" s="2" t="inlineStr">
        <is>
          <t>HP</t>
        </is>
      </c>
      <c r="C4376" s="2" t="inlineStr">
        <is>
          <t>W1A53A</t>
        </is>
      </c>
      <c r="D4376" s="2" t="inlineStr">
        <is>
          <t>Принтер лазерный HP LaserJet Pro M404dn (W1A53A) A4 Duplex Net белый</t>
        </is>
      </c>
      <c r="E4376" s="2" t="inlineStr">
        <is>
          <t>+ </t>
        </is>
      </c>
      <c r="F4376" s="2" t="inlineStr">
        <is>
          <t>+ </t>
        </is>
      </c>
      <c r="H4376" s="2">
        <v>507</v>
      </c>
      <c r="I4376" s="2" t="inlineStr">
        <is>
          <t>$</t>
        </is>
      </c>
      <c r="J4376" s="2">
        <f>HYPERLINK("https://app.astro.lead-studio.pro/product/e338eb37-609b-4597-9620-8e61f938577d")</f>
      </c>
    </row>
    <row r="4377" spans="1:10" customHeight="0">
      <c r="A4377" s="2" t="inlineStr">
        <is>
          <t>Принтеры</t>
        </is>
      </c>
      <c r="B4377" s="2" t="inlineStr">
        <is>
          <t>HP</t>
        </is>
      </c>
      <c r="C4377" s="2" t="inlineStr">
        <is>
          <t>J8H61A</t>
        </is>
      </c>
      <c r="D4377" s="2" t="inlineStr">
        <is>
          <t>Принтер лазерный HP LaserJet Pro M501dn (J8H61A) A4 Duplex белый</t>
        </is>
      </c>
      <c r="E4377" s="2" t="inlineStr">
        <is>
          <t>++ </t>
        </is>
      </c>
      <c r="F4377" s="2" t="inlineStr">
        <is>
          <t>++ </t>
        </is>
      </c>
      <c r="H4377" s="2">
        <v>448</v>
      </c>
      <c r="I4377" s="2" t="inlineStr">
        <is>
          <t>$</t>
        </is>
      </c>
      <c r="J4377" s="2">
        <f>HYPERLINK("https://app.astro.lead-studio.pro/product/11e3e138-30d5-42c0-9d6c-80abefac4f84")</f>
      </c>
    </row>
    <row r="4378" spans="1:10" customHeight="0">
      <c r="A4378" s="2" t="inlineStr">
        <is>
          <t>Принтеры</t>
        </is>
      </c>
      <c r="B4378" s="2" t="inlineStr">
        <is>
          <t>KYOCERA</t>
        </is>
      </c>
      <c r="C4378" s="2" t="inlineStr">
        <is>
          <t>1102RC3NL0/_D</t>
        </is>
      </c>
      <c r="D4378" s="2" t="inlineStr">
        <is>
          <t>Принтер лазерный Kyocera Color P5026cdn (1102RC3NL0/_D) A4 Duplex Net белый</t>
        </is>
      </c>
      <c r="E4378" s="2" t="inlineStr">
        <is>
          <t>++ </t>
        </is>
      </c>
      <c r="F4378" s="2" t="inlineStr">
        <is>
          <t>++ </t>
        </is>
      </c>
      <c r="H4378" s="2">
        <v>523</v>
      </c>
      <c r="I4378" s="2" t="inlineStr">
        <is>
          <t>$</t>
        </is>
      </c>
      <c r="J4378" s="2">
        <f>HYPERLINK("https://app.astro.lead-studio.pro/product/00e5fc5c-1ded-46e3-9491-fb87930007dd")</f>
      </c>
    </row>
    <row r="4379" spans="1:10" customHeight="0">
      <c r="A4379" s="2" t="inlineStr">
        <is>
          <t>Принтеры</t>
        </is>
      </c>
      <c r="B4379" s="2" t="inlineStr">
        <is>
          <t>KYOCERA</t>
        </is>
      </c>
      <c r="C4379" s="2" t="inlineStr">
        <is>
          <t>1102RX3NL0/1102RX3NL1</t>
        </is>
      </c>
      <c r="D4379" s="2" t="inlineStr">
        <is>
          <t>Принтер лазерный Kyocera Ecosys P2040DN (1102RX3NL0/1102RX3NL1) A4 Duplex Net черный</t>
        </is>
      </c>
      <c r="E4379" s="2" t="inlineStr">
        <is>
          <t>+++ </t>
        </is>
      </c>
      <c r="F4379" s="2" t="inlineStr">
        <is>
          <t>+++ </t>
        </is>
      </c>
      <c r="H4379" s="2">
        <v>402</v>
      </c>
      <c r="I4379" s="2" t="inlineStr">
        <is>
          <t>$</t>
        </is>
      </c>
      <c r="J4379" s="2">
        <f>HYPERLINK("https://app.astro.lead-studio.pro/product/03153989-87ed-4d38-baa5-43259ffd8b14")</f>
      </c>
    </row>
    <row r="4380" spans="1:10" customHeight="0">
      <c r="A4380" s="2" t="inlineStr">
        <is>
          <t>Принтеры</t>
        </is>
      </c>
      <c r="B4380" s="2" t="inlineStr">
        <is>
          <t>KYOCERA</t>
        </is>
      </c>
      <c r="C4380" s="2" t="inlineStr">
        <is>
          <t>1102RV3NL0</t>
        </is>
      </c>
      <c r="D4380" s="2" t="inlineStr">
        <is>
          <t>Принтер лазерный Kyocera Ecosys P2235dn (1102RV3NL0) A4 Duplex Net черный</t>
        </is>
      </c>
      <c r="E4380" s="2" t="inlineStr">
        <is>
          <t>+ </t>
        </is>
      </c>
      <c r="F4380" s="2" t="inlineStr">
        <is>
          <t>+ </t>
        </is>
      </c>
      <c r="H4380" s="2">
        <v>417</v>
      </c>
      <c r="I4380" s="2" t="inlineStr">
        <is>
          <t>$</t>
        </is>
      </c>
      <c r="J4380" s="2">
        <f>HYPERLINK("https://app.astro.lead-studio.pro/product/2d238652-4736-460b-8dac-6b07ce74d55b")</f>
      </c>
    </row>
    <row r="4381" spans="1:10" customHeight="0">
      <c r="A4381" s="2" t="inlineStr">
        <is>
          <t>Принтеры</t>
        </is>
      </c>
      <c r="B4381" s="2" t="inlineStr">
        <is>
          <t>KYOCERA</t>
        </is>
      </c>
      <c r="C4381" s="2" t="inlineStr">
        <is>
          <t>1102RW3NL0</t>
        </is>
      </c>
      <c r="D4381" s="2" t="inlineStr">
        <is>
          <t>Принтер лазерный Kyocera Ecosys P2235dw (1102RW3NL0) A4 Duplex Net WiFi черный</t>
        </is>
      </c>
      <c r="E4381" s="2" t="inlineStr">
        <is>
          <t>+ </t>
        </is>
      </c>
      <c r="F4381" s="2" t="inlineStr">
        <is>
          <t>+ </t>
        </is>
      </c>
      <c r="H4381" s="2">
        <v>465</v>
      </c>
      <c r="I4381" s="2" t="inlineStr">
        <is>
          <t>$</t>
        </is>
      </c>
      <c r="J4381" s="2">
        <f>HYPERLINK("https://app.astro.lead-studio.pro/product/02d7142e-aded-41ec-a8c1-8da808896fa5")</f>
      </c>
    </row>
    <row r="4382" spans="1:10" customHeight="0">
      <c r="A4382" s="2" t="inlineStr">
        <is>
          <t>Принтеры</t>
        </is>
      </c>
      <c r="B4382" s="2" t="inlineStr">
        <is>
          <t>KYOCERA</t>
        </is>
      </c>
      <c r="C4382" s="2" t="inlineStr">
        <is>
          <t>110C0Y3NL0</t>
        </is>
      </c>
      <c r="D4382" s="2" t="inlineStr">
        <is>
          <t>Принтер лазерный Kyocera Ecosys PA4500x (110C0Y3NL0) A4 Duplex белый</t>
        </is>
      </c>
      <c r="E4382" s="2" t="inlineStr">
        <is>
          <t>++ </t>
        </is>
      </c>
      <c r="F4382" s="2" t="inlineStr">
        <is>
          <t>++ </t>
        </is>
      </c>
      <c r="H4382" s="2">
        <v>545</v>
      </c>
      <c r="I4382" s="2" t="inlineStr">
        <is>
          <t>$</t>
        </is>
      </c>
      <c r="J4382" s="2">
        <f>HYPERLINK("https://app.astro.lead-studio.pro/product/d653d318-07cc-477d-bbb8-2ce48d5d01f2")</f>
      </c>
    </row>
    <row r="4383" spans="1:10" customHeight="0">
      <c r="A4383" s="2" t="inlineStr">
        <is>
          <t>Принтеры</t>
        </is>
      </c>
      <c r="B4383" s="2" t="inlineStr">
        <is>
          <t>KYOCERA</t>
        </is>
      </c>
      <c r="C4383" s="2" t="inlineStr">
        <is>
          <t>110C0W3NL0</t>
        </is>
      </c>
      <c r="D4383" s="2" t="inlineStr">
        <is>
          <t>Принтер лазерный Kyocera Ecosys PA5500x (110C0W3NL0) A4 Duplex белый</t>
        </is>
      </c>
      <c r="E4383" s="2" t="inlineStr">
        <is>
          <t>+ </t>
        </is>
      </c>
      <c r="F4383" s="2" t="inlineStr">
        <is>
          <t>+ </t>
        </is>
      </c>
      <c r="H4383" s="2">
        <v>765</v>
      </c>
      <c r="I4383" s="2" t="inlineStr">
        <is>
          <t>$</t>
        </is>
      </c>
      <c r="J4383" s="2">
        <f>HYPERLINK("https://app.astro.lead-studio.pro/product/09ea8ec5-794a-431a-bb5b-6f0a74a86f79")</f>
      </c>
    </row>
    <row r="4384" spans="1:10" customHeight="0">
      <c r="A4384" s="2" t="inlineStr">
        <is>
          <t>Принтеры</t>
        </is>
      </c>
      <c r="B4384" s="2" t="inlineStr">
        <is>
          <t>KYOCERA</t>
        </is>
      </c>
      <c r="C4384" s="2" t="inlineStr">
        <is>
          <t>110C0T3NL0</t>
        </is>
      </c>
      <c r="D4384" s="2" t="inlineStr">
        <is>
          <t>Принтер лазерный Kyocera Ecosys PA6000x (110C0T3NL0) A4 Duplex белый</t>
        </is>
      </c>
      <c r="E4384" s="2" t="inlineStr">
        <is>
          <t>+ </t>
        </is>
      </c>
      <c r="F4384" s="2" t="inlineStr">
        <is>
          <t>+ </t>
        </is>
      </c>
      <c r="H4384" s="2">
        <v>1034</v>
      </c>
      <c r="I4384" s="2" t="inlineStr">
        <is>
          <t>$</t>
        </is>
      </c>
      <c r="J4384" s="2">
        <f>HYPERLINK("https://app.astro.lead-studio.pro/product/0d12493f-8fac-47cb-8c05-8a91b75b5343")</f>
      </c>
    </row>
    <row r="4385" spans="1:10" customHeight="0">
      <c r="A4385" s="2" t="inlineStr">
        <is>
          <t>Принтеры</t>
        </is>
      </c>
      <c r="B4385" s="2" t="inlineStr">
        <is>
          <t>KYOCERA</t>
        </is>
      </c>
      <c r="C4385" s="2" t="inlineStr">
        <is>
          <t>1102M33RU0/RU2</t>
        </is>
      </c>
      <c r="D4385" s="2" t="inlineStr">
        <is>
          <t>Принтер лазерный Kyocera FS-1060DN (1102M33RU0/RU2) A4 Duplex белый</t>
        </is>
      </c>
      <c r="E4385" s="2" t="inlineStr">
        <is>
          <t>++ </t>
        </is>
      </c>
      <c r="F4385" s="2" t="inlineStr">
        <is>
          <t>++ </t>
        </is>
      </c>
      <c r="H4385" s="2">
        <v>525</v>
      </c>
      <c r="I4385" s="2" t="inlineStr">
        <is>
          <t>$</t>
        </is>
      </c>
      <c r="J4385" s="2">
        <f>HYPERLINK("https://app.astro.lead-studio.pro/product/2c12704a-b811-4ddc-8e40-c5659db584e4")</f>
      </c>
    </row>
    <row r="4386" spans="1:10" customHeight="0">
      <c r="A4386" s="2" t="inlineStr">
        <is>
          <t>Принтеры</t>
        </is>
      </c>
      <c r="B4386" s="2" t="inlineStr">
        <is>
          <t>KYOCERA</t>
        </is>
      </c>
      <c r="C4386" s="2" t="inlineStr">
        <is>
          <t>1102RS3NL0</t>
        </is>
      </c>
      <c r="D4386" s="2" t="inlineStr">
        <is>
          <t>Принтер лазерный Kyocera P4060dn (1102RS3NL0) A3 Duplex темно-серый</t>
        </is>
      </c>
      <c r="E4386" s="2" t="inlineStr">
        <is>
          <t>+ </t>
        </is>
      </c>
      <c r="F4386" s="2" t="inlineStr">
        <is>
          <t>+ </t>
        </is>
      </c>
      <c r="H4386" s="2">
        <v>4517</v>
      </c>
      <c r="I4386" s="2" t="inlineStr">
        <is>
          <t>$</t>
        </is>
      </c>
      <c r="J4386" s="2">
        <f>HYPERLINK("https://app.astro.lead-studio.pro/product/656c75f8-e48f-4e00-9dca-3728d61d336f")</f>
      </c>
    </row>
    <row r="4387" spans="1:10" customHeight="0">
      <c r="A4387" s="2" t="inlineStr">
        <is>
          <t>Принтеры</t>
        </is>
      </c>
      <c r="B4387" s="2" t="inlineStr">
        <is>
          <t>KYOCERA</t>
        </is>
      </c>
      <c r="C4387" s="2" t="inlineStr">
        <is>
          <t>1102Y43NL0/1102Y43NL0</t>
        </is>
      </c>
      <c r="D4387" s="2" t="inlineStr">
        <is>
          <t>Принтер лазерный Kyocera P4140dn (1102Y43NL0/1102Y43NL0) A3 Duplex Net белый</t>
        </is>
      </c>
      <c r="E4387" s="2" t="inlineStr">
        <is>
          <t>+ </t>
        </is>
      </c>
      <c r="F4387" s="2" t="inlineStr">
        <is>
          <t>+ </t>
        </is>
      </c>
      <c r="H4387" s="2">
        <v>1908</v>
      </c>
      <c r="I4387" s="2" t="inlineStr">
        <is>
          <t>$</t>
        </is>
      </c>
      <c r="J4387" s="2">
        <f>HYPERLINK("https://app.astro.lead-studio.pro/product/d816ba3c-4c0e-4000-8993-723316e916b6")</f>
      </c>
    </row>
    <row r="4388" spans="1:10" customHeight="0">
      <c r="A4388" s="2" t="inlineStr">
        <is>
          <t>Принтеры</t>
        </is>
      </c>
      <c r="B4388" s="2" t="inlineStr">
        <is>
          <t>PANTUM</t>
        </is>
      </c>
      <c r="C4388" s="2" t="inlineStr">
        <is>
          <t>BP5100DN</t>
        </is>
      </c>
      <c r="D4388" s="2" t="inlineStr">
        <is>
          <t>Принтер лазерный Pantum BP5100DN A4 Duplex Net белый</t>
        </is>
      </c>
      <c r="E4388" s="2" t="inlineStr">
        <is>
          <t>+++ </t>
        </is>
      </c>
      <c r="F4388" s="2" t="inlineStr">
        <is>
          <t>+++ </t>
        </is>
      </c>
      <c r="H4388" s="2">
        <v>1100</v>
      </c>
      <c r="I4388" s="2" t="inlineStr">
        <is>
          <t>$</t>
        </is>
      </c>
      <c r="J4388" s="2">
        <f>HYPERLINK("https://app.astro.lead-studio.pro/product/d98f9fe7-b3b7-434c-a8d4-002a677a085d")</f>
      </c>
    </row>
    <row r="4389" spans="1:10" customHeight="0">
      <c r="A4389" s="2" t="inlineStr">
        <is>
          <t>Принтеры</t>
        </is>
      </c>
      <c r="B4389" s="2" t="inlineStr">
        <is>
          <t>PANTUM</t>
        </is>
      </c>
      <c r="C4389" s="2" t="inlineStr">
        <is>
          <t>BP5100DW</t>
        </is>
      </c>
      <c r="D4389" s="2" t="inlineStr">
        <is>
          <t>Принтер лазерный Pantum BP5100DW A4 Duplex Net WiFi белый</t>
        </is>
      </c>
      <c r="E4389" s="2" t="inlineStr">
        <is>
          <t>+++ </t>
        </is>
      </c>
      <c r="F4389" s="2" t="inlineStr">
        <is>
          <t>+++ </t>
        </is>
      </c>
      <c r="H4389" s="2">
        <v>1115</v>
      </c>
      <c r="I4389" s="2" t="inlineStr">
        <is>
          <t>$</t>
        </is>
      </c>
      <c r="J4389" s="2">
        <f>HYPERLINK("https://app.astro.lead-studio.pro/product/b2c8ff35-b199-4120-ae43-8edfa6ef8bbe")</f>
      </c>
    </row>
    <row r="4390" spans="1:10" customHeight="0">
      <c r="A4390" s="2" t="inlineStr">
        <is>
          <t>Принтеры</t>
        </is>
      </c>
      <c r="B4390" s="2" t="inlineStr">
        <is>
          <t>PANTUM</t>
        </is>
      </c>
      <c r="C4390" s="2" t="inlineStr">
        <is>
          <t>CP1100</t>
        </is>
      </c>
      <c r="D4390" s="2" t="inlineStr">
        <is>
          <t>Принтер лазерный Pantum CP1100 A4 белый</t>
        </is>
      </c>
      <c r="E4390" s="2" t="inlineStr">
        <is>
          <t>+ </t>
        </is>
      </c>
      <c r="F4390" s="2" t="inlineStr">
        <is>
          <t>+ </t>
        </is>
      </c>
      <c r="H4390" s="2">
        <v>494</v>
      </c>
      <c r="I4390" s="2" t="inlineStr">
        <is>
          <t>$</t>
        </is>
      </c>
      <c r="J4390" s="2">
        <f>HYPERLINK("https://app.astro.lead-studio.pro/product/e213daee-cb0a-4882-acef-05d1ab94c8e0")</f>
      </c>
    </row>
    <row r="4391" spans="1:10" customHeight="0">
      <c r="A4391" s="2" t="inlineStr">
        <is>
          <t>Принтеры</t>
        </is>
      </c>
      <c r="B4391" s="2" t="inlineStr">
        <is>
          <t>PANTUM</t>
        </is>
      </c>
      <c r="C4391" s="2" t="inlineStr">
        <is>
          <t>CP1100DN</t>
        </is>
      </c>
      <c r="D4391" s="2" t="inlineStr">
        <is>
          <t>Принтер лазерный Pantum CP1100DN A4 Duplex Net белый</t>
        </is>
      </c>
      <c r="E4391" s="2" t="inlineStr">
        <is>
          <t>+ </t>
        </is>
      </c>
      <c r="F4391" s="2" t="inlineStr">
        <is>
          <t>+ </t>
        </is>
      </c>
      <c r="H4391" s="2">
        <v>506</v>
      </c>
      <c r="I4391" s="2" t="inlineStr">
        <is>
          <t>$</t>
        </is>
      </c>
      <c r="J4391" s="2">
        <f>HYPERLINK("https://app.astro.lead-studio.pro/product/9db2761c-794d-4160-ad6a-377bbb48e4af")</f>
      </c>
    </row>
    <row r="4392" spans="1:10" customHeight="0">
      <c r="A4392" s="2" t="inlineStr">
        <is>
          <t>Принтеры</t>
        </is>
      </c>
      <c r="B4392" s="2" t="inlineStr">
        <is>
          <t>PANTUM</t>
        </is>
      </c>
      <c r="C4392" s="2" t="inlineStr">
        <is>
          <t>P3300DN</t>
        </is>
      </c>
      <c r="D4392" s="2" t="inlineStr">
        <is>
          <t>Принтер лазерный Pantum P3300DN A4 Duplex Net белый</t>
        </is>
      </c>
      <c r="E4392" s="2" t="inlineStr">
        <is>
          <t>+ </t>
        </is>
      </c>
      <c r="F4392" s="2" t="inlineStr">
        <is>
          <t>+ </t>
        </is>
      </c>
      <c r="H4392" s="2">
        <v>1088</v>
      </c>
      <c r="I4392" s="2" t="inlineStr">
        <is>
          <t>$</t>
        </is>
      </c>
      <c r="J4392" s="2">
        <f>HYPERLINK("https://app.astro.lead-studio.pro/product/ce42cc2f-d63f-4547-8cdd-7350ccf3482e")</f>
      </c>
    </row>
    <row r="4393" spans="1:10" customHeight="0">
      <c r="A4393" s="2" t="inlineStr">
        <is>
          <t>Принтеры</t>
        </is>
      </c>
      <c r="B4393" s="2" t="inlineStr">
        <is>
          <t>PANTUM</t>
        </is>
      </c>
      <c r="C4393" s="2" t="inlineStr">
        <is>
          <t>P3300DW</t>
        </is>
      </c>
      <c r="D4393" s="2" t="inlineStr">
        <is>
          <t>Принтер лазерный Pantum P3300DW A4 Duplex Net WiFi белый</t>
        </is>
      </c>
      <c r="E4393" s="2" t="inlineStr">
        <is>
          <t>+++ </t>
        </is>
      </c>
      <c r="F4393" s="2" t="inlineStr">
        <is>
          <t>+++ </t>
        </is>
      </c>
      <c r="H4393" s="2">
        <v>1103</v>
      </c>
      <c r="I4393" s="2" t="inlineStr">
        <is>
          <t>$</t>
        </is>
      </c>
      <c r="J4393" s="2">
        <f>HYPERLINK("https://app.astro.lead-studio.pro/product/5d6d7850-4ef5-4c4d-b2c3-37b59fe129a1")</f>
      </c>
    </row>
    <row r="4394" spans="1:10" customHeight="0">
      <c r="A4394" s="2" t="inlineStr">
        <is>
          <t>Принтеры</t>
        </is>
      </c>
      <c r="B4394" s="2" t="inlineStr">
        <is>
          <t>XEROX</t>
        </is>
      </c>
      <c r="C4394" s="2" t="inlineStr">
        <is>
          <t>C7000V_DN</t>
        </is>
      </c>
      <c r="D4394" s="2" t="inlineStr">
        <is>
          <t>Принтер лазерный Xerox Versalink C7000DN (C7000V_DN) A3 Duplex белый</t>
        </is>
      </c>
      <c r="E4394" s="2" t="inlineStr">
        <is>
          <t>+ </t>
        </is>
      </c>
      <c r="F4394" s="2" t="inlineStr">
        <is>
          <t>+ </t>
        </is>
      </c>
      <c r="H4394" s="2">
        <v>1240</v>
      </c>
      <c r="I4394" s="2" t="inlineStr">
        <is>
          <t>$</t>
        </is>
      </c>
      <c r="J4394" s="2">
        <f>HYPERLINK("https://app.astro.lead-studio.pro/product/e6477e47-2eb3-42bd-8903-12abadb5c903")</f>
      </c>
    </row>
    <row r="4395" spans="1:10" customHeight="0">
      <c r="A4395" s="2" t="inlineStr">
        <is>
          <t>Принтеры</t>
        </is>
      </c>
      <c r="B4395" s="2" t="inlineStr">
        <is>
          <t>AVISION</t>
        </is>
      </c>
      <c r="C4395" s="2" t="inlineStr">
        <is>
          <t>AM5640I</t>
        </is>
      </c>
      <c r="D4395" s="2" t="inlineStr">
        <is>
          <t>МФУ лазерный Avision AM5640i A3 Duplex Net белый</t>
        </is>
      </c>
      <c r="E4395" s="2" t="inlineStr">
        <is>
          <t>+ </t>
        </is>
      </c>
      <c r="F4395" s="2" t="inlineStr">
        <is>
          <t>+ </t>
        </is>
      </c>
      <c r="H4395" s="2">
        <v>2195</v>
      </c>
      <c r="I4395" s="2" t="inlineStr">
        <is>
          <t>$</t>
        </is>
      </c>
      <c r="J4395" s="2">
        <f>HYPERLINK("https://app.astro.lead-studio.pro/product/342d4f65-1e7c-4b75-a5de-359e9cdd62d2")</f>
      </c>
    </row>
    <row r="4396" spans="1:10" customHeight="0">
      <c r="A4396" s="2" t="inlineStr">
        <is>
          <t>Принтеры</t>
        </is>
      </c>
      <c r="B4396" s="2" t="inlineStr">
        <is>
          <t>CANON</t>
        </is>
      </c>
      <c r="C4396" s="2" t="inlineStr">
        <is>
          <t>5455C012</t>
        </is>
      </c>
      <c r="D4396" s="2" t="inlineStr">
        <is>
          <t>МФУ лазерный Canon i-Sensys Colour MF752Cdw (5455C012) A4 Duplex WiFi белый</t>
        </is>
      </c>
      <c r="E4396" s="2" t="inlineStr">
        <is>
          <t>+ </t>
        </is>
      </c>
      <c r="F4396" s="2" t="inlineStr">
        <is>
          <t>+ </t>
        </is>
      </c>
      <c r="H4396" s="2">
        <v>491</v>
      </c>
      <c r="I4396" s="2" t="inlineStr">
        <is>
          <t>$</t>
        </is>
      </c>
      <c r="J4396" s="2">
        <f>HYPERLINK("https://app.astro.lead-studio.pro/product/6a21de15-b68a-4c34-a50f-05ab073e3384")</f>
      </c>
    </row>
    <row r="4397" spans="1:10" customHeight="0">
      <c r="A4397" s="2" t="inlineStr">
        <is>
          <t>Принтеры</t>
        </is>
      </c>
      <c r="B4397" s="2" t="inlineStr">
        <is>
          <t>CANON</t>
        </is>
      </c>
      <c r="C4397" s="2" t="inlineStr">
        <is>
          <t>5455C009/5455C019</t>
        </is>
      </c>
      <c r="D4397" s="2" t="inlineStr">
        <is>
          <t>МФУ лазерный Canon i-Sensys Colour MF754Cdw (5455C009/5455C019) A4 Duplex WiFi белый</t>
        </is>
      </c>
      <c r="E4397" s="2" t="inlineStr">
        <is>
          <t>+ </t>
        </is>
      </c>
      <c r="F4397" s="2" t="inlineStr">
        <is>
          <t>+ </t>
        </is>
      </c>
      <c r="H4397" s="2">
        <v>503</v>
      </c>
      <c r="I4397" s="2" t="inlineStr">
        <is>
          <t>$</t>
        </is>
      </c>
      <c r="J4397" s="2">
        <f>HYPERLINK("https://app.astro.lead-studio.pro/product/3353f336-4424-4cb0-919c-32153b7db370")</f>
      </c>
    </row>
    <row r="4398" spans="1:10" customHeight="0">
      <c r="A4398" s="2" t="inlineStr">
        <is>
          <t>Принтеры</t>
        </is>
      </c>
      <c r="B4398" s="2" t="inlineStr">
        <is>
          <t>CANON</t>
        </is>
      </c>
      <c r="C4398" s="2" t="inlineStr">
        <is>
          <t>1418C169/1418C113</t>
        </is>
      </c>
      <c r="D4398" s="2" t="inlineStr">
        <is>
          <t>МФУ лазерный Canon i-Sensys MF237W (1418C169/1418C113) A4 WiFi черный</t>
        </is>
      </c>
      <c r="E4398" s="2" t="inlineStr">
        <is>
          <t>+ </t>
        </is>
      </c>
      <c r="F4398" s="2" t="inlineStr">
        <is>
          <t>+ </t>
        </is>
      </c>
      <c r="H4398" s="2">
        <v>542</v>
      </c>
      <c r="I4398" s="2" t="inlineStr">
        <is>
          <t>$</t>
        </is>
      </c>
      <c r="J4398" s="2">
        <f>HYPERLINK("https://app.astro.lead-studio.pro/product/41a888ff-acb8-45e1-900f-edbe9c851ce4")</f>
      </c>
    </row>
    <row r="4399" spans="1:10" customHeight="0">
      <c r="A4399" s="2" t="inlineStr">
        <is>
          <t>Принтеры</t>
        </is>
      </c>
      <c r="B4399" s="2" t="inlineStr">
        <is>
          <t>CANON</t>
        </is>
      </c>
      <c r="C4399" s="2" t="inlineStr">
        <is>
          <t>5252B004</t>
        </is>
      </c>
      <c r="D4399" s="2" t="inlineStr">
        <is>
          <t>МФУ лазерный Canon i-Sensys MF3010 (5252B004) A4 черный</t>
        </is>
      </c>
      <c r="E4399" s="2" t="inlineStr">
        <is>
          <t>+++ </t>
        </is>
      </c>
      <c r="F4399" s="2" t="inlineStr">
        <is>
          <t>+++ </t>
        </is>
      </c>
      <c r="H4399" s="2">
        <v>323</v>
      </c>
      <c r="I4399" s="2" t="inlineStr">
        <is>
          <t>$</t>
        </is>
      </c>
      <c r="J4399" s="2">
        <f>HYPERLINK("https://app.astro.lead-studio.pro/product/0bc878a6-416b-4055-aa81-2e4363469c9f")</f>
      </c>
    </row>
    <row r="4400" spans="1:10" customHeight="0">
      <c r="A4400" s="2" t="inlineStr">
        <is>
          <t>Принтеры</t>
        </is>
      </c>
      <c r="B4400" s="2" t="inlineStr">
        <is>
          <t>CANON</t>
        </is>
      </c>
      <c r="C4400" s="2" t="inlineStr">
        <is>
          <t>5252B034</t>
        </is>
      </c>
      <c r="D4400" s="2" t="inlineStr">
        <is>
          <t>МФУ лазерный Canon i-Sensys MF3010 (5252B034) A4 черный (в комплекте: + 2 картриджа)</t>
        </is>
      </c>
      <c r="E4400" s="2" t="inlineStr">
        <is>
          <t>+ </t>
        </is>
      </c>
      <c r="F4400" s="2" t="inlineStr">
        <is>
          <t>+ </t>
        </is>
      </c>
      <c r="H4400" s="2">
        <v>328</v>
      </c>
      <c r="I4400" s="2" t="inlineStr">
        <is>
          <t>$</t>
        </is>
      </c>
      <c r="J4400" s="2">
        <f>HYPERLINK("https://app.astro.lead-studio.pro/product/1c1e8e02-3a86-4c6e-90cb-8e747144a72b")</f>
      </c>
    </row>
    <row r="4401" spans="1:10" customHeight="0">
      <c r="A4401" s="2" t="inlineStr">
        <is>
          <t>Принтеры</t>
        </is>
      </c>
      <c r="B4401" s="2" t="inlineStr">
        <is>
          <t>CANON</t>
        </is>
      </c>
      <c r="C4401" s="2" t="inlineStr">
        <is>
          <t>5252B004+3484B002</t>
        </is>
      </c>
      <c r="D4401" s="2" t="inlineStr">
        <is>
          <t>МФУ лазерный Canon i-Sensys MF3010 bundle (5252B004+3484B002) A4 черный</t>
        </is>
      </c>
      <c r="E4401" s="2" t="inlineStr">
        <is>
          <t>+++ </t>
        </is>
      </c>
      <c r="F4401" s="2" t="inlineStr">
        <is>
          <t>+++ </t>
        </is>
      </c>
      <c r="H4401" s="2">
        <v>350</v>
      </c>
      <c r="I4401" s="2" t="inlineStr">
        <is>
          <t>$</t>
        </is>
      </c>
      <c r="J4401" s="2">
        <f>HYPERLINK("https://app.astro.lead-studio.pro/product/c1d36801-90f7-4ed2-9fdd-390708cfa5dc")</f>
      </c>
    </row>
    <row r="4402" spans="1:10" customHeight="0">
      <c r="A4402" s="2" t="inlineStr">
        <is>
          <t>Принтеры</t>
        </is>
      </c>
      <c r="B4402" s="2" t="inlineStr">
        <is>
          <t>CANON</t>
        </is>
      </c>
      <c r="D4402" s="2" t="inlineStr">
        <is>
          <t>МФУ лазерный Canon i-Sensys MF3010 bundle A4</t>
        </is>
      </c>
      <c r="E4402" s="2" t="inlineStr">
        <is>
          <t>+++ </t>
        </is>
      </c>
      <c r="F4402" s="2" t="inlineStr">
        <is>
          <t>+++ </t>
        </is>
      </c>
      <c r="H4402" s="2">
        <v>370</v>
      </c>
      <c r="I4402" s="2" t="inlineStr">
        <is>
          <t>$</t>
        </is>
      </c>
    </row>
    <row r="4403" spans="1:10" customHeight="0">
      <c r="A4403" s="2" t="inlineStr">
        <is>
          <t>Принтеры</t>
        </is>
      </c>
      <c r="B4403" s="2" t="inlineStr">
        <is>
          <t>CANON</t>
        </is>
      </c>
      <c r="D4403" s="2" t="inlineStr">
        <is>
          <t>МФУ лазерный Canon i-Sensys MF3010 bundle A4 черный (в комплекте: + картридж)</t>
        </is>
      </c>
      <c r="E4403" s="2" t="inlineStr">
        <is>
          <t>+++ </t>
        </is>
      </c>
      <c r="F4403" s="2" t="inlineStr">
        <is>
          <t>+++ </t>
        </is>
      </c>
      <c r="H4403" s="2">
        <v>344</v>
      </c>
      <c r="I4403" s="2" t="inlineStr">
        <is>
          <t>$</t>
        </is>
      </c>
    </row>
    <row r="4404" spans="1:10" customHeight="0">
      <c r="A4404" s="2" t="inlineStr">
        <is>
          <t>Принтеры</t>
        </is>
      </c>
      <c r="B4404" s="2" t="inlineStr">
        <is>
          <t>CANON</t>
        </is>
      </c>
      <c r="C4404" s="2" t="inlineStr">
        <is>
          <t>5161C007</t>
        </is>
      </c>
      <c r="D4404" s="2" t="inlineStr">
        <is>
          <t>МФУ лазерный Canon i-Sensys MF453dw (5161C007) A4 Duplex WiFi белый</t>
        </is>
      </c>
      <c r="E4404" s="2" t="inlineStr">
        <is>
          <t>+++ </t>
        </is>
      </c>
      <c r="F4404" s="2" t="inlineStr">
        <is>
          <t>+++ </t>
        </is>
      </c>
      <c r="H4404" s="2">
        <v>610</v>
      </c>
      <c r="I4404" s="2" t="inlineStr">
        <is>
          <t>$</t>
        </is>
      </c>
      <c r="J4404" s="2">
        <f>HYPERLINK("https://app.astro.lead-studio.pro/product/f3039e41-abeb-442d-bd44-7074ed15b017")</f>
      </c>
    </row>
    <row r="4405" spans="1:10" customHeight="0">
      <c r="A4405" s="2" t="inlineStr">
        <is>
          <t>Принтеры</t>
        </is>
      </c>
      <c r="B4405" s="2" t="inlineStr">
        <is>
          <t>CANON</t>
        </is>
      </c>
      <c r="C4405" s="2" t="inlineStr">
        <is>
          <t>5161C006/16</t>
        </is>
      </c>
      <c r="D4405" s="2" t="inlineStr">
        <is>
          <t>МФУ лазерный Canon i-Sensys MF455dw (5161C006/16) A4 Duplex WiFi белый</t>
        </is>
      </c>
      <c r="E4405" s="2" t="inlineStr">
        <is>
          <t>+ </t>
        </is>
      </c>
      <c r="F4405" s="2" t="inlineStr">
        <is>
          <t>+ </t>
        </is>
      </c>
      <c r="H4405" s="2">
        <v>668</v>
      </c>
      <c r="I4405" s="2" t="inlineStr">
        <is>
          <t>$</t>
        </is>
      </c>
      <c r="J4405" s="2">
        <f>HYPERLINK("https://app.astro.lead-studio.pro/product/088cf65f-3e9d-4ecb-b441-44a1eba83253")</f>
      </c>
    </row>
    <row r="4406" spans="1:10" customHeight="0">
      <c r="A4406" s="2" t="inlineStr">
        <is>
          <t>Принтеры</t>
        </is>
      </c>
      <c r="B4406" s="2" t="inlineStr">
        <is>
          <t>CANON</t>
        </is>
      </c>
      <c r="C4406" s="2" t="inlineStr">
        <is>
          <t>5951C020</t>
        </is>
      </c>
      <c r="D4406" s="2" t="inlineStr">
        <is>
          <t>МФУ лазерный Canon i-Sensys MF461DW (5951C020) A4 Duplex WiFi белый</t>
        </is>
      </c>
      <c r="E4406" s="2" t="inlineStr">
        <is>
          <t>+ </t>
        </is>
      </c>
      <c r="F4406" s="2" t="inlineStr">
        <is>
          <t>+ </t>
        </is>
      </c>
      <c r="H4406" s="2">
        <v>522</v>
      </c>
      <c r="I4406" s="2" t="inlineStr">
        <is>
          <t>$</t>
        </is>
      </c>
      <c r="J4406" s="2">
        <f>HYPERLINK("https://app.astro.lead-studio.pro/product/08835278-a8c1-4baf-976f-fc2139b9ddbb")</f>
      </c>
    </row>
    <row r="4407" spans="1:10" customHeight="0">
      <c r="A4407" s="2" t="inlineStr">
        <is>
          <t>Принтеры</t>
        </is>
      </c>
      <c r="B4407" s="2" t="inlineStr">
        <is>
          <t>CANON</t>
        </is>
      </c>
      <c r="C4407" s="2" t="inlineStr">
        <is>
          <t>5951C008</t>
        </is>
      </c>
      <c r="D4407" s="2" t="inlineStr">
        <is>
          <t>МФУ лазерный Canon i-Sensys MF463DW (5951C008) A4 Duplex WiFi белый</t>
        </is>
      </c>
      <c r="E4407" s="2" t="inlineStr">
        <is>
          <t>+++ </t>
        </is>
      </c>
      <c r="F4407" s="2" t="inlineStr">
        <is>
          <t>+++ </t>
        </is>
      </c>
      <c r="H4407" s="2">
        <v>548</v>
      </c>
      <c r="I4407" s="2" t="inlineStr">
        <is>
          <t>$</t>
        </is>
      </c>
      <c r="J4407" s="2">
        <f>HYPERLINK("https://app.astro.lead-studio.pro/product/43e0334f-d594-465d-b7c9-4a42a346b9fa")</f>
      </c>
    </row>
    <row r="4408" spans="1:10" customHeight="0">
      <c r="A4408" s="2" t="inlineStr">
        <is>
          <t>Принтеры</t>
        </is>
      </c>
      <c r="B4408" s="2" t="inlineStr">
        <is>
          <t>CANON</t>
        </is>
      </c>
      <c r="C4408" s="2" t="inlineStr">
        <is>
          <t>5951C007</t>
        </is>
      </c>
      <c r="D4408" s="2" t="inlineStr">
        <is>
          <t>МФУ лазерный Canon i-Sensys MF465dw (5951C007) A4 Duplex WiFi белый</t>
        </is>
      </c>
      <c r="E4408" s="2" t="inlineStr">
        <is>
          <t>++ </t>
        </is>
      </c>
      <c r="F4408" s="2" t="inlineStr">
        <is>
          <t>++ </t>
        </is>
      </c>
      <c r="H4408" s="2">
        <v>575</v>
      </c>
      <c r="I4408" s="2" t="inlineStr">
        <is>
          <t>$</t>
        </is>
      </c>
      <c r="J4408" s="2">
        <f>HYPERLINK("https://app.astro.lead-studio.pro/product/3f6fbbf4-7e69-4eaf-9959-146664a5016b")</f>
      </c>
    </row>
    <row r="4409" spans="1:10" customHeight="0">
      <c r="A4409" s="2" t="inlineStr">
        <is>
          <t>Принтеры</t>
        </is>
      </c>
      <c r="B4409" s="2" t="inlineStr">
        <is>
          <t>CANON</t>
        </is>
      </c>
      <c r="C4409" s="2" t="inlineStr">
        <is>
          <t>5965C005</t>
        </is>
      </c>
      <c r="D4409" s="2" t="inlineStr">
        <is>
          <t>МФУ лазерный Canon imageRUNNER C3326i (5965C005) A3 Duplex Net WiFi белый</t>
        </is>
      </c>
      <c r="E4409" s="2" t="inlineStr">
        <is>
          <t>+ </t>
        </is>
      </c>
      <c r="F4409" s="2" t="inlineStr">
        <is>
          <t>+ </t>
        </is>
      </c>
      <c r="H4409" s="2">
        <v>2549</v>
      </c>
      <c r="I4409" s="2" t="inlineStr">
        <is>
          <t>$</t>
        </is>
      </c>
      <c r="J4409" s="2">
        <f>HYPERLINK("https://app.astro.lead-studio.pro/product/83fccb0c-43b0-4b89-9b6c-5eb67b686489")</f>
      </c>
    </row>
    <row r="4410" spans="1:10" customHeight="0">
      <c r="A4410" s="2" t="inlineStr">
        <is>
          <t>Принтеры</t>
        </is>
      </c>
      <c r="B4410" s="2" t="inlineStr">
        <is>
          <t>HP</t>
        </is>
      </c>
      <c r="C4410" s="2" t="inlineStr">
        <is>
          <t>4ZB97A</t>
        </is>
      </c>
      <c r="D4410" s="2" t="inlineStr">
        <is>
          <t>МФУ лазерный HP Color LaserJet 179fnw (4ZB97A) A4 WiFi белый</t>
        </is>
      </c>
      <c r="E4410" s="2" t="inlineStr">
        <is>
          <t>+ </t>
        </is>
      </c>
      <c r="F4410" s="2" t="inlineStr">
        <is>
          <t>+ </t>
        </is>
      </c>
      <c r="H4410" s="2">
        <v>393</v>
      </c>
      <c r="I4410" s="2" t="inlineStr">
        <is>
          <t>$</t>
        </is>
      </c>
      <c r="J4410" s="2">
        <f>HYPERLINK("https://app.astro.lead-studio.pro/product/3654b2c5-c20c-40c0-ba4f-bb08d63dd9db")</f>
      </c>
    </row>
    <row r="4411" spans="1:10" customHeight="0">
      <c r="A4411" s="2" t="inlineStr">
        <is>
          <t>Принтеры</t>
        </is>
      </c>
      <c r="B4411" s="2" t="inlineStr">
        <is>
          <t>HP</t>
        </is>
      </c>
      <c r="C4411" s="2" t="inlineStr">
        <is>
          <t>3QA55A</t>
        </is>
      </c>
      <c r="D4411" s="2" t="inlineStr">
        <is>
          <t>МФУ лазерный HP Color LaserJet Enterprise M480f (3QA55A) A4 Duplex Net белый</t>
        </is>
      </c>
      <c r="E4411" s="2" t="inlineStr">
        <is>
          <t>+++ </t>
        </is>
      </c>
      <c r="F4411" s="2" t="inlineStr">
        <is>
          <t>+++ </t>
        </is>
      </c>
      <c r="H4411" s="2">
        <v>687</v>
      </c>
      <c r="I4411" s="2" t="inlineStr">
        <is>
          <t>$</t>
        </is>
      </c>
      <c r="J4411" s="2">
        <f>HYPERLINK("https://app.astro.lead-studio.pro/product/f4a97eca-8226-4706-8374-83a648af484e")</f>
      </c>
    </row>
    <row r="4412" spans="1:10" customHeight="0">
      <c r="A4412" s="2" t="inlineStr">
        <is>
          <t>Принтеры</t>
        </is>
      </c>
      <c r="B4412" s="2" t="inlineStr">
        <is>
          <t>HP</t>
        </is>
      </c>
      <c r="C4412" s="2" t="inlineStr">
        <is>
          <t>7ZU87A</t>
        </is>
      </c>
      <c r="D4412" s="2" t="inlineStr">
        <is>
          <t>МФУ лазерный HP Color LaserJet Enterprise M578c (7ZU87A) A4 Duplex белый</t>
        </is>
      </c>
      <c r="E4412" s="2" t="inlineStr">
        <is>
          <t>+ </t>
        </is>
      </c>
      <c r="F4412" s="2" t="inlineStr">
        <is>
          <t>+ </t>
        </is>
      </c>
      <c r="H4412" s="2">
        <v>1785</v>
      </c>
      <c r="I4412" s="2" t="inlineStr">
        <is>
          <t>$</t>
        </is>
      </c>
      <c r="J4412" s="2">
        <f>HYPERLINK("https://app.astro.lead-studio.pro/product/b6a64fc9-0f34-4104-a6cf-d008e57ab2d3")</f>
      </c>
    </row>
    <row r="4413" spans="1:10" customHeight="0">
      <c r="A4413" s="2" t="inlineStr">
        <is>
          <t>Принтеры</t>
        </is>
      </c>
      <c r="B4413" s="2" t="inlineStr">
        <is>
          <t>HP</t>
        </is>
      </c>
      <c r="C4413" s="2" t="inlineStr">
        <is>
          <t>7ZU85A</t>
        </is>
      </c>
      <c r="D4413" s="2" t="inlineStr">
        <is>
          <t>МФУ лазерный HP Color LaserJet Enterprise M578dn (7ZU85A) A4 Duplex белый</t>
        </is>
      </c>
      <c r="E4413" s="2" t="inlineStr">
        <is>
          <t>+ </t>
        </is>
      </c>
      <c r="F4413" s="2" t="inlineStr">
        <is>
          <t>+ </t>
        </is>
      </c>
      <c r="H4413" s="2">
        <v>2674</v>
      </c>
      <c r="I4413" s="2" t="inlineStr">
        <is>
          <t>$</t>
        </is>
      </c>
      <c r="J4413" s="2">
        <f>HYPERLINK("https://app.astro.lead-studio.pro/product/42f9a8d5-b353-4785-b8cc-0dca1c7e81a8")</f>
      </c>
    </row>
    <row r="4414" spans="1:10" customHeight="0">
      <c r="A4414" s="2" t="inlineStr">
        <is>
          <t>Принтеры</t>
        </is>
      </c>
      <c r="B4414" s="2" t="inlineStr">
        <is>
          <t>HP</t>
        </is>
      </c>
      <c r="C4414" s="2" t="inlineStr">
        <is>
          <t>T3U55A</t>
        </is>
      </c>
      <c r="D4414" s="2" t="inlineStr">
        <is>
          <t>МФУ лазерный HP Color LaserJet Enterprise M776dn (T3U55A) A3 Duplex Net белый</t>
        </is>
      </c>
      <c r="E4414" s="2" t="inlineStr">
        <is>
          <t>+ </t>
        </is>
      </c>
      <c r="F4414" s="2" t="inlineStr">
        <is>
          <t>+ </t>
        </is>
      </c>
      <c r="H4414" s="2">
        <v>5698</v>
      </c>
      <c r="I4414" s="2" t="inlineStr">
        <is>
          <t>$</t>
        </is>
      </c>
      <c r="J4414" s="2">
        <f>HYPERLINK("https://app.astro.lead-studio.pro/product/1a154ab0-6f9f-44e1-a681-2cfabac917a9")</f>
      </c>
    </row>
    <row r="4415" spans="1:10" customHeight="0">
      <c r="A4415" s="2" t="inlineStr">
        <is>
          <t>Принтеры</t>
        </is>
      </c>
      <c r="B4415" s="2" t="inlineStr">
        <is>
          <t>HP</t>
        </is>
      </c>
      <c r="C4415" s="2" t="inlineStr">
        <is>
          <t>A2W75A</t>
        </is>
      </c>
      <c r="D4415" s="2" t="inlineStr">
        <is>
          <t>МФУ лазерный HP Color LaserJet Enterprise MFP M880z (A2W75A) A3 Duplex черный</t>
        </is>
      </c>
      <c r="E4415" s="2" t="inlineStr">
        <is>
          <t>+ </t>
        </is>
      </c>
      <c r="F4415" s="2" t="inlineStr">
        <is>
          <t>+ </t>
        </is>
      </c>
      <c r="H4415" s="2">
        <v>10025</v>
      </c>
      <c r="I4415" s="2" t="inlineStr">
        <is>
          <t>$</t>
        </is>
      </c>
      <c r="J4415" s="2">
        <f>HYPERLINK("https://app.astro.lead-studio.pro/product/9ee69b2b-9d74-4ccc-90aa-3551356a2eee")</f>
      </c>
    </row>
    <row r="4416" spans="1:10" customHeight="0">
      <c r="A4416" s="2" t="inlineStr">
        <is>
          <t>Принтеры</t>
        </is>
      </c>
      <c r="B4416" s="2" t="inlineStr">
        <is>
          <t>HP</t>
        </is>
      </c>
      <c r="C4416" s="2" t="inlineStr">
        <is>
          <t>7KW56A</t>
        </is>
      </c>
      <c r="D4416" s="2" t="inlineStr">
        <is>
          <t>МФУ лазерный HP Color LaserJet Pro M183fw (7KW56A) A4 Net WiFi белый</t>
        </is>
      </c>
      <c r="E4416" s="2" t="inlineStr">
        <is>
          <t>+ </t>
        </is>
      </c>
      <c r="F4416" s="2" t="inlineStr">
        <is>
          <t>+ </t>
        </is>
      </c>
      <c r="H4416" s="2">
        <v>409</v>
      </c>
      <c r="I4416" s="2" t="inlineStr">
        <is>
          <t>$</t>
        </is>
      </c>
      <c r="J4416" s="2">
        <f>HYPERLINK("https://app.astro.lead-studio.pro/product/e296f1a3-a249-4813-89dc-918be0a77e24")</f>
      </c>
    </row>
    <row r="4417" spans="1:10" customHeight="0">
      <c r="A4417" s="2" t="inlineStr">
        <is>
          <t>Принтеры</t>
        </is>
      </c>
      <c r="B4417" s="2" t="inlineStr">
        <is>
          <t>HP</t>
        </is>
      </c>
      <c r="C4417" s="2" t="inlineStr">
        <is>
          <t>7KW72A</t>
        </is>
      </c>
      <c r="D4417" s="2" t="inlineStr">
        <is>
          <t>МФУ лазерный HP Color LaserJet Pro M282nw (7KW72A) A4 Net WiFi белый</t>
        </is>
      </c>
      <c r="E4417" s="2" t="inlineStr">
        <is>
          <t>+ </t>
        </is>
      </c>
      <c r="F4417" s="2" t="inlineStr">
        <is>
          <t>+ </t>
        </is>
      </c>
      <c r="H4417" s="2">
        <v>496</v>
      </c>
      <c r="I4417" s="2" t="inlineStr">
        <is>
          <t>$</t>
        </is>
      </c>
      <c r="J4417" s="2">
        <f>HYPERLINK("https://app.astro.lead-studio.pro/product/abf0d9e1-9e2b-4a18-b92a-ee6f9b0c6fe6")</f>
      </c>
    </row>
    <row r="4418" spans="1:10" customHeight="0">
      <c r="A4418" s="2" t="inlineStr">
        <is>
          <t>Принтеры</t>
        </is>
      </c>
      <c r="B4418" s="2" t="inlineStr">
        <is>
          <t>HP</t>
        </is>
      </c>
      <c r="C4418" s="2" t="inlineStr">
        <is>
          <t>W1A77A</t>
        </is>
      </c>
      <c r="D4418" s="2" t="inlineStr">
        <is>
          <t>МФУ лазерный HP Color LaserJet Pro M479dw (W1A77A) A4 Duplex WiFi белый</t>
        </is>
      </c>
      <c r="E4418" s="2" t="inlineStr">
        <is>
          <t>++ </t>
        </is>
      </c>
      <c r="F4418" s="2" t="inlineStr">
        <is>
          <t>++ </t>
        </is>
      </c>
      <c r="H4418" s="2">
        <v>758</v>
      </c>
      <c r="I4418" s="2" t="inlineStr">
        <is>
          <t>$</t>
        </is>
      </c>
      <c r="J4418" s="2">
        <f>HYPERLINK("https://app.astro.lead-studio.pro/product/f156c8f7-7e62-4125-a2c6-41ac16a0b04f")</f>
      </c>
    </row>
    <row r="4419" spans="1:10" customHeight="0">
      <c r="A4419" s="2" t="inlineStr">
        <is>
          <t>Принтеры</t>
        </is>
      </c>
      <c r="B4419" s="2" t="inlineStr">
        <is>
          <t>HP</t>
        </is>
      </c>
      <c r="C4419" s="2" t="inlineStr">
        <is>
          <t>W1A78A</t>
        </is>
      </c>
      <c r="D4419" s="2" t="inlineStr">
        <is>
          <t>МФУ лазерный HP Color LaserJet Pro M479fnw (W1A78A) A4 Net WiFi белый</t>
        </is>
      </c>
      <c r="E4419" s="2" t="inlineStr">
        <is>
          <t>+++ </t>
        </is>
      </c>
      <c r="F4419" s="2" t="inlineStr">
        <is>
          <t>+++ </t>
        </is>
      </c>
      <c r="H4419" s="2">
        <v>647</v>
      </c>
      <c r="I4419" s="2" t="inlineStr">
        <is>
          <t>$</t>
        </is>
      </c>
      <c r="J4419" s="2">
        <f>HYPERLINK("https://app.astro.lead-studio.pro/product/90c570e5-0881-4428-ba04-e94f79591122")</f>
      </c>
    </row>
    <row r="4420" spans="1:10" customHeight="0">
      <c r="A4420" s="2" t="inlineStr">
        <is>
          <t>Принтеры</t>
        </is>
      </c>
      <c r="B4420" s="2" t="inlineStr">
        <is>
          <t>HP</t>
        </is>
      </c>
      <c r="C4420" s="2" t="inlineStr">
        <is>
          <t>7KW54A</t>
        </is>
      </c>
      <c r="D4420" s="2" t="inlineStr">
        <is>
          <t>МФУ лазерный HP Color LaserJet Pro MFP M182n (7KW54A) A4 Net белый</t>
        </is>
      </c>
      <c r="E4420" s="2" t="inlineStr">
        <is>
          <t>+ </t>
        </is>
      </c>
      <c r="F4420" s="2" t="inlineStr">
        <is>
          <t>+ </t>
        </is>
      </c>
      <c r="H4420" s="2">
        <v>384</v>
      </c>
      <c r="I4420" s="2" t="inlineStr">
        <is>
          <t>$</t>
        </is>
      </c>
      <c r="J4420" s="2">
        <f>HYPERLINK("https://app.astro.lead-studio.pro/product/4e57304d-94f5-48bc-8343-83fb17df7b78")</f>
      </c>
    </row>
    <row r="4421" spans="1:10" customHeight="0">
      <c r="A4421" s="2" t="inlineStr">
        <is>
          <t>Принтеры</t>
        </is>
      </c>
      <c r="B4421" s="2" t="inlineStr">
        <is>
          <t>HP</t>
        </is>
      </c>
      <c r="C4421" s="2" t="inlineStr">
        <is>
          <t>4ZB83A</t>
        </is>
      </c>
      <c r="D4421" s="2" t="inlineStr">
        <is>
          <t>МФУ лазерный HP Laser 135w (4ZB83A) A4 WiFi белый</t>
        </is>
      </c>
      <c r="E4421" s="2" t="inlineStr">
        <is>
          <t>+ </t>
        </is>
      </c>
      <c r="F4421" s="2" t="inlineStr">
        <is>
          <t>+ </t>
        </is>
      </c>
      <c r="H4421" s="2">
        <v>356</v>
      </c>
      <c r="I4421" s="2" t="inlineStr">
        <is>
          <t>$</t>
        </is>
      </c>
      <c r="J4421" s="2">
        <f>HYPERLINK("https://app.astro.lead-studio.pro/product/d4f4f060-1536-418a-bb22-6fec754d68a8")</f>
      </c>
    </row>
    <row r="4422" spans="1:10" customHeight="0">
      <c r="A4422" s="2" t="inlineStr">
        <is>
          <t>Принтеры</t>
        </is>
      </c>
      <c r="B4422" s="2" t="inlineStr">
        <is>
          <t>HP</t>
        </is>
      </c>
      <c r="C4422" s="2" t="inlineStr">
        <is>
          <t>4ZB84A</t>
        </is>
      </c>
      <c r="D4422" s="2" t="inlineStr">
        <is>
          <t>МФУ лазерный HP Laser 137fnw (4ZB84A) A4 WiFi белый</t>
        </is>
      </c>
      <c r="E4422" s="2" t="inlineStr">
        <is>
          <t>+++ </t>
        </is>
      </c>
      <c r="F4422" s="2" t="inlineStr">
        <is>
          <t>+++ </t>
        </is>
      </c>
      <c r="H4422" s="2">
        <v>344</v>
      </c>
      <c r="I4422" s="2" t="inlineStr">
        <is>
          <t>$</t>
        </is>
      </c>
      <c r="J4422" s="2">
        <f>HYPERLINK("https://app.astro.lead-studio.pro/product/f7abeb21-3822-47b9-8682-eaa5cd6a7879")</f>
      </c>
    </row>
    <row r="4423" spans="1:10" customHeight="0">
      <c r="A4423" s="2" t="inlineStr">
        <is>
          <t>Принтеры</t>
        </is>
      </c>
      <c r="B4423" s="2" t="inlineStr">
        <is>
          <t>HP</t>
        </is>
      </c>
      <c r="C4423" s="2" t="inlineStr">
        <is>
          <t>2R3E8A</t>
        </is>
      </c>
      <c r="D4423" s="2" t="inlineStr">
        <is>
          <t>МФУ лазерный HP LaserJet 1602w (2R3E8A) A4 WiFi серый</t>
        </is>
      </c>
      <c r="E4423" s="2" t="inlineStr">
        <is>
          <t>+ </t>
        </is>
      </c>
      <c r="F4423" s="2" t="inlineStr">
        <is>
          <t>+ </t>
        </is>
      </c>
      <c r="H4423" s="2">
        <v>459</v>
      </c>
      <c r="I4423" s="2" t="inlineStr">
        <is>
          <t>$</t>
        </is>
      </c>
      <c r="J4423" s="2">
        <f>HYPERLINK("https://app.astro.lead-studio.pro/product/684f6dd5-e07b-42ef-9d3c-ef7815bd2548")</f>
      </c>
    </row>
    <row r="4424" spans="1:10" customHeight="0">
      <c r="A4424" s="2" t="inlineStr">
        <is>
          <t>Принтеры</t>
        </is>
      </c>
      <c r="B4424" s="2" t="inlineStr">
        <is>
          <t>HP</t>
        </is>
      </c>
      <c r="C4424" s="2" t="inlineStr">
        <is>
          <t>CF067A</t>
        </is>
      </c>
      <c r="D4424" s="2" t="inlineStr">
        <is>
          <t>МФУ лазерный HP LaserJet Enterprise 700 M725f (CF067A) A3 Duplex серый</t>
        </is>
      </c>
      <c r="E4424" s="2" t="inlineStr">
        <is>
          <t>+ </t>
        </is>
      </c>
      <c r="F4424" s="2" t="inlineStr">
        <is>
          <t>+ </t>
        </is>
      </c>
      <c r="H4424" s="2">
        <v>5661</v>
      </c>
      <c r="I4424" s="2" t="inlineStr">
        <is>
          <t>$</t>
        </is>
      </c>
      <c r="J4424" s="2">
        <f>HYPERLINK("https://app.astro.lead-studio.pro/product/eb0e8ccf-d8d4-43eb-a94a-27233dbbe696")</f>
      </c>
    </row>
    <row r="4425" spans="1:10" customHeight="0">
      <c r="A4425" s="2" t="inlineStr">
        <is>
          <t>Принтеры</t>
        </is>
      </c>
      <c r="B4425" s="2" t="inlineStr">
        <is>
          <t>HP</t>
        </is>
      </c>
      <c r="C4425" s="2" t="inlineStr">
        <is>
          <t>3PZ55A</t>
        </is>
      </c>
      <c r="D4425" s="2" t="inlineStr">
        <is>
          <t>МФУ лазерный HP LaserJet Enterprise M430f (3PZ55A) A4 Duplex Net белый</t>
        </is>
      </c>
      <c r="E4425" s="2" t="inlineStr">
        <is>
          <t>+++ </t>
        </is>
      </c>
      <c r="F4425" s="2" t="inlineStr">
        <is>
          <t>+++ </t>
        </is>
      </c>
      <c r="H4425" s="2">
        <v>716</v>
      </c>
      <c r="I4425" s="2" t="inlineStr">
        <is>
          <t>$</t>
        </is>
      </c>
      <c r="J4425" s="2">
        <f>HYPERLINK("https://app.astro.lead-studio.pro/product/734eb98e-a863-4c8d-ae99-dfe560236c0b")</f>
      </c>
    </row>
    <row r="4426" spans="1:10" customHeight="0">
      <c r="A4426" s="2" t="inlineStr">
        <is>
          <t>Принтеры</t>
        </is>
      </c>
      <c r="B4426" s="2" t="inlineStr">
        <is>
          <t>HP</t>
        </is>
      </c>
      <c r="C4426" s="2" t="inlineStr">
        <is>
          <t>1PV64A</t>
        </is>
      </c>
      <c r="D4426" s="2" t="inlineStr">
        <is>
          <t>МФУ лазерный HP LaserJet Enterprise M528dn (1PV64A) A4 Duplex Net белый</t>
        </is>
      </c>
      <c r="E4426" s="2" t="inlineStr">
        <is>
          <t>+ </t>
        </is>
      </c>
      <c r="F4426" s="2" t="inlineStr">
        <is>
          <t>+ </t>
        </is>
      </c>
      <c r="H4426" s="2">
        <v>1952</v>
      </c>
      <c r="I4426" s="2" t="inlineStr">
        <is>
          <t>$</t>
        </is>
      </c>
      <c r="J4426" s="2">
        <f>HYPERLINK("https://app.astro.lead-studio.pro/product/26a726af-6fb6-42c8-a7ae-f7963df2bc2d")</f>
      </c>
    </row>
    <row r="4427" spans="1:10" customHeight="0">
      <c r="A4427" s="2" t="inlineStr">
        <is>
          <t>Принтеры</t>
        </is>
      </c>
      <c r="B4427" s="2" t="inlineStr">
        <is>
          <t>HP</t>
        </is>
      </c>
      <c r="C4427" s="2" t="inlineStr">
        <is>
          <t>1PV65A</t>
        </is>
      </c>
      <c r="D4427" s="2" t="inlineStr">
        <is>
          <t>МФУ лазерный HP LaserJet Enterprise M528f (1PV65A) A4 Duplex Net белый</t>
        </is>
      </c>
      <c r="E4427" s="2" t="inlineStr">
        <is>
          <t>+ </t>
        </is>
      </c>
      <c r="F4427" s="2" t="inlineStr">
        <is>
          <t>+ </t>
        </is>
      </c>
      <c r="H4427" s="2">
        <v>3031</v>
      </c>
      <c r="I4427" s="2" t="inlineStr">
        <is>
          <t>$</t>
        </is>
      </c>
      <c r="J4427" s="2">
        <f>HYPERLINK("https://app.astro.lead-studio.pro/product/29a87765-f2dc-4114-899d-47bab4814a2d")</f>
      </c>
    </row>
    <row r="4428" spans="1:10" customHeight="0">
      <c r="A4428" s="2" t="inlineStr">
        <is>
          <t>Принтеры</t>
        </is>
      </c>
      <c r="B4428" s="2" t="inlineStr">
        <is>
          <t>HP</t>
        </is>
      </c>
      <c r="C4428" s="2" t="inlineStr">
        <is>
          <t>9YF95A</t>
        </is>
      </c>
      <c r="D4428" s="2" t="inlineStr">
        <is>
          <t>МФУ лазерный HP LaserJet M236dw (9YF95A) A4 Duplex WiFi белый</t>
        </is>
      </c>
      <c r="E4428" s="2" t="inlineStr">
        <is>
          <t>+++ </t>
        </is>
      </c>
      <c r="F4428" s="2" t="inlineStr">
        <is>
          <t>+++ </t>
        </is>
      </c>
      <c r="H4428" s="2">
        <v>323</v>
      </c>
      <c r="I4428" s="2" t="inlineStr">
        <is>
          <t>$</t>
        </is>
      </c>
      <c r="J4428" s="2">
        <f>HYPERLINK("https://app.astro.lead-studio.pro/product/b5512c1f-5338-43a6-9239-f75e37530588")</f>
      </c>
    </row>
    <row r="4429" spans="1:10" customHeight="0">
      <c r="A4429" s="2" t="inlineStr">
        <is>
          <t>Принтеры</t>
        </is>
      </c>
      <c r="B4429" s="2" t="inlineStr">
        <is>
          <t>HP</t>
        </is>
      </c>
      <c r="C4429" s="2" t="inlineStr">
        <is>
          <t>2Z627A</t>
        </is>
      </c>
      <c r="D4429" s="2" t="inlineStr">
        <is>
          <t>МФУ лазерный HP LaserJet Pro 4103dw (2Z627A) A4 Duplex Net WiFi белый</t>
        </is>
      </c>
      <c r="E4429" s="2" t="inlineStr">
        <is>
          <t>+ </t>
        </is>
      </c>
      <c r="F4429" s="2" t="inlineStr">
        <is>
          <t>+ </t>
        </is>
      </c>
      <c r="H4429" s="2">
        <v>545</v>
      </c>
      <c r="I4429" s="2" t="inlineStr">
        <is>
          <t>$</t>
        </is>
      </c>
      <c r="J4429" s="2">
        <f>HYPERLINK("https://app.astro.lead-studio.pro/product/ec633904-ff13-499f-b3cc-2f969323535f")</f>
      </c>
    </row>
    <row r="4430" spans="1:10" customHeight="0">
      <c r="A4430" s="2" t="inlineStr">
        <is>
          <t>Принтеры</t>
        </is>
      </c>
      <c r="B4430" s="2" t="inlineStr">
        <is>
          <t>HP</t>
        </is>
      </c>
      <c r="C4430" s="2" t="inlineStr">
        <is>
          <t>2Z628A</t>
        </is>
      </c>
      <c r="D4430" s="2" t="inlineStr">
        <is>
          <t>МФУ лазерный HP LaserJet Pro 4103fdn (2Z628A) A4 Duplex Net белый</t>
        </is>
      </c>
      <c r="E4430" s="2" t="inlineStr">
        <is>
          <t>+++ </t>
        </is>
      </c>
      <c r="F4430" s="2" t="inlineStr">
        <is>
          <t>+++ </t>
        </is>
      </c>
      <c r="H4430" s="2">
        <v>542</v>
      </c>
      <c r="I4430" s="2" t="inlineStr">
        <is>
          <t>$</t>
        </is>
      </c>
      <c r="J4430" s="2">
        <f>HYPERLINK("https://app.astro.lead-studio.pro/product/d2d3c727-5286-4d30-8af9-03bd16df94bb")</f>
      </c>
    </row>
    <row r="4431" spans="1:10" customHeight="0">
      <c r="A4431" s="2" t="inlineStr">
        <is>
          <t>Принтеры</t>
        </is>
      </c>
      <c r="B4431" s="2" t="inlineStr">
        <is>
          <t>HP</t>
        </is>
      </c>
      <c r="C4431" s="2" t="inlineStr">
        <is>
          <t>2Z629A</t>
        </is>
      </c>
      <c r="D4431" s="2" t="inlineStr">
        <is>
          <t>МФУ лазерный HP LaserJet Pro 4103fdw (2Z629A) A4 Duplex Net WiFi белый</t>
        </is>
      </c>
      <c r="E4431" s="2" t="inlineStr">
        <is>
          <t>+++ </t>
        </is>
      </c>
      <c r="F4431" s="2" t="inlineStr">
        <is>
          <t>+++ </t>
        </is>
      </c>
      <c r="H4431" s="2">
        <v>582</v>
      </c>
      <c r="I4431" s="2" t="inlineStr">
        <is>
          <t>$</t>
        </is>
      </c>
      <c r="J4431" s="2">
        <f>HYPERLINK("https://app.astro.lead-studio.pro/product/d63afd24-ad83-48d8-950b-4f125718dd85")</f>
      </c>
    </row>
    <row r="4432" spans="1:10" customHeight="0">
      <c r="A4432" s="2" t="inlineStr">
        <is>
          <t>Принтеры</t>
        </is>
      </c>
      <c r="B4432" s="2" t="inlineStr">
        <is>
          <t>HP</t>
        </is>
      </c>
      <c r="C4432" s="2" t="inlineStr">
        <is>
          <t>G3Q75A</t>
        </is>
      </c>
      <c r="D4432" s="2" t="inlineStr">
        <is>
          <t>МФУ лазерный HP LaserJet Pro M227fdw (G3Q75A) A4 Duplex Net WiFi белый</t>
        </is>
      </c>
      <c r="E4432" s="2" t="inlineStr">
        <is>
          <t>+++ </t>
        </is>
      </c>
      <c r="F4432" s="2" t="inlineStr">
        <is>
          <t>+++ </t>
        </is>
      </c>
      <c r="H4432" s="2">
        <v>559</v>
      </c>
      <c r="I4432" s="2" t="inlineStr">
        <is>
          <t>$</t>
        </is>
      </c>
      <c r="J4432" s="2">
        <f>HYPERLINK("https://app.astro.lead-studio.pro/product/6fe1475a-db23-41b5-8b1a-4eb8f7783e69")</f>
      </c>
    </row>
    <row r="4433" spans="1:10" customHeight="0">
      <c r="A4433" s="2" t="inlineStr">
        <is>
          <t>Принтеры</t>
        </is>
      </c>
      <c r="B4433" s="2" t="inlineStr">
        <is>
          <t>HP</t>
        </is>
      </c>
      <c r="C4433" s="2" t="inlineStr">
        <is>
          <t>G3Q74A</t>
        </is>
      </c>
      <c r="D4433" s="2" t="inlineStr">
        <is>
          <t>МФУ лазерный HP LaserJet Pro M227sdn (G3Q74A) A4 Duplex Net белый</t>
        </is>
      </c>
      <c r="E4433" s="2" t="inlineStr">
        <is>
          <t>+ </t>
        </is>
      </c>
      <c r="F4433" s="2" t="inlineStr">
        <is>
          <t>+ </t>
        </is>
      </c>
      <c r="H4433" s="2">
        <v>817</v>
      </c>
      <c r="I4433" s="2" t="inlineStr">
        <is>
          <t>$</t>
        </is>
      </c>
      <c r="J4433" s="2">
        <f>HYPERLINK("https://app.astro.lead-studio.pro/product/599bbc4d-d8ff-4d0e-ba4f-5e4a96094921")</f>
      </c>
    </row>
    <row r="4434" spans="1:10" customHeight="0">
      <c r="A4434" s="2" t="inlineStr">
        <is>
          <t>Принтеры</t>
        </is>
      </c>
      <c r="B4434" s="2" t="inlineStr">
        <is>
          <t>HP</t>
        </is>
      </c>
      <c r="C4434" s="2" t="inlineStr">
        <is>
          <t>W1A29A#B19</t>
        </is>
      </c>
      <c r="D4434" s="2" t="inlineStr">
        <is>
          <t>МФУ лазерный HP LaserJet Pro M428fdn (W1A29A#B19) A4 Duplex Net белый</t>
        </is>
      </c>
      <c r="E4434" s="2" t="inlineStr">
        <is>
          <t>+ </t>
        </is>
      </c>
      <c r="F4434" s="2" t="inlineStr">
        <is>
          <t>+ </t>
        </is>
      </c>
      <c r="H4434" s="2">
        <v>1320</v>
      </c>
      <c r="I4434" s="2" t="inlineStr">
        <is>
          <t>$</t>
        </is>
      </c>
      <c r="J4434" s="2">
        <f>HYPERLINK("https://app.astro.lead-studio.pro/product/23fa1a7f-0d5e-4c9f-ba14-1731ade2b306")</f>
      </c>
    </row>
    <row r="4435" spans="1:10" customHeight="0">
      <c r="A4435" s="2" t="inlineStr">
        <is>
          <t>Принтеры</t>
        </is>
      </c>
      <c r="B4435" s="2" t="inlineStr">
        <is>
          <t>HP</t>
        </is>
      </c>
      <c r="C4435" s="2" t="inlineStr">
        <is>
          <t>8AF43A</t>
        </is>
      </c>
      <c r="D4435" s="2" t="inlineStr">
        <is>
          <t>МФУ лазерный HP LaserJet Pro M438n (8AF43A) A3 Net белый</t>
        </is>
      </c>
      <c r="E4435" s="2" t="inlineStr">
        <is>
          <t>+ </t>
        </is>
      </c>
      <c r="F4435" s="2" t="inlineStr">
        <is>
          <t>+ </t>
        </is>
      </c>
      <c r="H4435" s="2">
        <v>717</v>
      </c>
      <c r="I4435" s="2" t="inlineStr">
        <is>
          <t>$</t>
        </is>
      </c>
      <c r="J4435" s="2">
        <f>HYPERLINK("https://app.astro.lead-studio.pro/product/694f2133-187c-4a69-a21f-7c3549406205")</f>
      </c>
    </row>
    <row r="4436" spans="1:10" customHeight="0">
      <c r="A4436" s="2" t="inlineStr">
        <is>
          <t>Принтеры</t>
        </is>
      </c>
      <c r="B4436" s="2" t="inlineStr">
        <is>
          <t>HP</t>
        </is>
      </c>
      <c r="C4436" s="2" t="inlineStr">
        <is>
          <t>8AF71A</t>
        </is>
      </c>
      <c r="D4436" s="2" t="inlineStr">
        <is>
          <t>МФУ лазерный HP LaserJet Pro M442dn (8AF71A) A3 Net белый</t>
        </is>
      </c>
      <c r="E4436" s="2" t="inlineStr">
        <is>
          <t>+++ </t>
        </is>
      </c>
      <c r="F4436" s="2" t="inlineStr">
        <is>
          <t>+++ </t>
        </is>
      </c>
      <c r="H4436" s="2">
        <v>770</v>
      </c>
      <c r="I4436" s="2" t="inlineStr">
        <is>
          <t>$</t>
        </is>
      </c>
      <c r="J4436" s="2">
        <f>HYPERLINK("https://app.astro.lead-studio.pro/product/4cf61c8f-efc8-4d79-a9c8-7e58f3261730")</f>
      </c>
    </row>
    <row r="4437" spans="1:10" customHeight="0">
      <c r="A4437" s="2" t="inlineStr">
        <is>
          <t>Принтеры</t>
        </is>
      </c>
      <c r="B4437" s="2" t="inlineStr">
        <is>
          <t>HP</t>
        </is>
      </c>
      <c r="C4437" s="2" t="inlineStr">
        <is>
          <t>8AF72A</t>
        </is>
      </c>
      <c r="D4437" s="2" t="inlineStr">
        <is>
          <t>МФУ лазерный HP LaserJet Pro M443nda (8AF72A) A3 Duplex Net белый</t>
        </is>
      </c>
      <c r="E4437" s="2" t="inlineStr">
        <is>
          <t>+ </t>
        </is>
      </c>
      <c r="F4437" s="2" t="inlineStr">
        <is>
          <t>+ </t>
        </is>
      </c>
      <c r="H4437" s="2">
        <v>1143</v>
      </c>
      <c r="I4437" s="2" t="inlineStr">
        <is>
          <t>$</t>
        </is>
      </c>
      <c r="J4437" s="2">
        <f>HYPERLINK("https://app.astro.lead-studio.pro/product/83952e55-a73f-4362-8282-6095aab59e08")</f>
      </c>
    </row>
    <row r="4438" spans="1:10" customHeight="0">
      <c r="A4438" s="2" t="inlineStr">
        <is>
          <t>Принтеры</t>
        </is>
      </c>
      <c r="B4438" s="2" t="inlineStr">
        <is>
          <t>KONICA MINOLTA</t>
        </is>
      </c>
      <c r="C4438" s="2" t="inlineStr">
        <is>
          <t>ACVD021/AJ4WY2/DK-518X</t>
        </is>
      </c>
      <c r="D4438" s="2" t="inlineStr">
        <is>
          <t>МФУ лазерный Konica Minolta Bizhub C257i (ACVD021/AJ4WY2/DK-518X) A3 Duplex Net черный</t>
        </is>
      </c>
      <c r="E4438" s="2" t="inlineStr">
        <is>
          <t>+ </t>
        </is>
      </c>
      <c r="F4438" s="2" t="inlineStr">
        <is>
          <t>+ </t>
        </is>
      </c>
      <c r="H4438" s="2">
        <v>3397</v>
      </c>
      <c r="I4438" s="2" t="inlineStr">
        <is>
          <t>$</t>
        </is>
      </c>
      <c r="J4438" s="2">
        <f>HYPERLINK("https://app.astro.lead-studio.pro/product/9c236c22-1b32-449d-bf1c-3423bc6d50ad")</f>
      </c>
    </row>
    <row r="4439" spans="1:10" customHeight="0">
      <c r="A4439" s="2" t="inlineStr">
        <is>
          <t>Принтеры</t>
        </is>
      </c>
      <c r="B4439" s="2" t="inlineStr">
        <is>
          <t>KONICA MINOLTA</t>
        </is>
      </c>
      <c r="C4439" s="2" t="inlineStr">
        <is>
          <t>ACVD021</t>
        </is>
      </c>
      <c r="D4439" s="2" t="inlineStr">
        <is>
          <t>МФУ лазерный Konica Minolta Bizhub C257i (Базовый блок) (ACVD021) A3 Duplex Net черный</t>
        </is>
      </c>
      <c r="E4439" s="2" t="inlineStr">
        <is>
          <t>+ </t>
        </is>
      </c>
      <c r="F4439" s="2" t="inlineStr">
        <is>
          <t>+ </t>
        </is>
      </c>
      <c r="H4439" s="2">
        <v>2669</v>
      </c>
      <c r="I4439" s="2" t="inlineStr">
        <is>
          <t>$</t>
        </is>
      </c>
      <c r="J4439" s="2">
        <f>HYPERLINK("https://app.astro.lead-studio.pro/product/47edd754-7ac4-4959-95ab-63a9b543a417")</f>
      </c>
    </row>
    <row r="4440" spans="1:10" customHeight="0">
      <c r="A4440" s="2" t="inlineStr">
        <is>
          <t>Принтеры</t>
        </is>
      </c>
      <c r="B4440" s="2" t="inlineStr">
        <is>
          <t>KYOCERA</t>
        </is>
      </c>
      <c r="C4440" s="2" t="inlineStr">
        <is>
          <t>1102S33NL0</t>
        </is>
      </c>
      <c r="D4440" s="2" t="inlineStr">
        <is>
          <t>МФУ лазерный Kyocera Ecosys M2040DN (1102S33NL0) A4 Duplex белый</t>
        </is>
      </c>
      <c r="E4440" s="2" t="inlineStr">
        <is>
          <t>+++ </t>
        </is>
      </c>
      <c r="F4440" s="2" t="inlineStr">
        <is>
          <t>+++ </t>
        </is>
      </c>
      <c r="H4440" s="2">
        <v>917</v>
      </c>
      <c r="I4440" s="2" t="inlineStr">
        <is>
          <t>$</t>
        </is>
      </c>
      <c r="J4440" s="2">
        <f>HYPERLINK("https://app.astro.lead-studio.pro/product/d0770eb4-d3af-4fe2-8361-23a0494aa3f1")</f>
      </c>
    </row>
    <row r="4441" spans="1:10" customHeight="0">
      <c r="A4441" s="2" t="inlineStr">
        <is>
          <t>Принтеры</t>
        </is>
      </c>
      <c r="B4441" s="2" t="inlineStr">
        <is>
          <t>KYOCERA</t>
        </is>
      </c>
      <c r="C4441" s="2" t="inlineStr">
        <is>
          <t>1102S03NL0/L1</t>
        </is>
      </c>
      <c r="D4441" s="2" t="inlineStr">
        <is>
          <t>МФУ лазерный Kyocera Ecosys M2135DN (1102S03NL0/L1) A4 Duplex белый</t>
        </is>
      </c>
      <c r="E4441" s="2" t="inlineStr">
        <is>
          <t>+++ </t>
        </is>
      </c>
      <c r="F4441" s="2" t="inlineStr">
        <is>
          <t>+++ </t>
        </is>
      </c>
      <c r="H4441" s="2">
        <v>653</v>
      </c>
      <c r="I4441" s="2" t="inlineStr">
        <is>
          <t>$</t>
        </is>
      </c>
      <c r="J4441" s="2">
        <f>HYPERLINK("https://app.astro.lead-studio.pro/product/5532a84b-0d53-43da-9bf1-c6b9286381fa")</f>
      </c>
    </row>
    <row r="4442" spans="1:10" customHeight="0">
      <c r="A4442" s="2" t="inlineStr">
        <is>
          <t>Принтеры</t>
        </is>
      </c>
      <c r="B4442" s="2" t="inlineStr">
        <is>
          <t>KYOCERA</t>
        </is>
      </c>
      <c r="C4442" s="2" t="inlineStr">
        <is>
          <t>1102SH3NL0</t>
        </is>
      </c>
      <c r="D4442" s="2" t="inlineStr">
        <is>
          <t>МФУ лазерный Kyocera Ecosys M2540DN (1102SH3NL0) A4 Duplex Net белый</t>
        </is>
      </c>
      <c r="E4442" s="2" t="inlineStr">
        <is>
          <t>+++ </t>
        </is>
      </c>
      <c r="F4442" s="2" t="inlineStr">
        <is>
          <t>+++ </t>
        </is>
      </c>
      <c r="H4442" s="2">
        <v>1316</v>
      </c>
      <c r="I4442" s="2" t="inlineStr">
        <is>
          <t>$</t>
        </is>
      </c>
      <c r="J4442" s="2">
        <f>HYPERLINK("https://app.astro.lead-studio.pro/product/fbfd6be9-6f88-445c-ab9c-08f678793c7d")</f>
      </c>
    </row>
    <row r="4443" spans="1:10" customHeight="0">
      <c r="A4443" s="2" t="inlineStr">
        <is>
          <t>Принтеры</t>
        </is>
      </c>
      <c r="B4443" s="2" t="inlineStr">
        <is>
          <t>KYOCERA</t>
        </is>
      </c>
      <c r="D4443" s="2" t="inlineStr">
        <is>
          <t>МФУ лазерный Kyocera Ecosys M2540DN A4 Duplex Net белый (в комплекте: + 2 картриджа)</t>
        </is>
      </c>
      <c r="E4443" s="2" t="inlineStr">
        <is>
          <t>+++ </t>
        </is>
      </c>
      <c r="F4443" s="2" t="inlineStr">
        <is>
          <t>+++ </t>
        </is>
      </c>
      <c r="H4443" s="2">
        <v>1515</v>
      </c>
      <c r="I4443" s="2" t="inlineStr">
        <is>
          <t>$</t>
        </is>
      </c>
    </row>
    <row r="4444" spans="1:10" customHeight="0">
      <c r="A4444" s="2" t="inlineStr">
        <is>
          <t>Принтеры</t>
        </is>
      </c>
      <c r="B4444" s="2" t="inlineStr">
        <is>
          <t>KYOCERA</t>
        </is>
      </c>
      <c r="C4444" s="2" t="inlineStr">
        <is>
          <t>1102S13NL0</t>
        </is>
      </c>
      <c r="D4444" s="2" t="inlineStr">
        <is>
          <t>МФУ лазерный Kyocera Ecosys M2635DN (1102S13NL0) A4 Duplex Net белый</t>
        </is>
      </c>
      <c r="E4444" s="2" t="inlineStr">
        <is>
          <t>++ </t>
        </is>
      </c>
      <c r="F4444" s="2" t="inlineStr">
        <is>
          <t>++ </t>
        </is>
      </c>
      <c r="H4444" s="2">
        <v>710</v>
      </c>
      <c r="I4444" s="2" t="inlineStr">
        <is>
          <t>$</t>
        </is>
      </c>
      <c r="J4444" s="2">
        <f>HYPERLINK("https://app.astro.lead-studio.pro/product/f303870f-5a4c-4f34-9644-2926cc3c54eb")</f>
      </c>
    </row>
    <row r="4445" spans="1:10" customHeight="0">
      <c r="A4445" s="2" t="inlineStr">
        <is>
          <t>Принтеры</t>
        </is>
      </c>
      <c r="B4445" s="2" t="inlineStr">
        <is>
          <t>KYOCERA</t>
        </is>
      </c>
      <c r="C4445" s="2" t="inlineStr">
        <is>
          <t>1102SG3NL0</t>
        </is>
      </c>
      <c r="D4445" s="2" t="inlineStr">
        <is>
          <t>МФУ лазерный Kyocera Ecosys M2735dw (1102SG3NL0) A4 Duplex WiFi белый</t>
        </is>
      </c>
      <c r="E4445" s="2" t="inlineStr">
        <is>
          <t>+ </t>
        </is>
      </c>
      <c r="F4445" s="2" t="inlineStr">
        <is>
          <t>+ </t>
        </is>
      </c>
      <c r="H4445" s="2">
        <v>844</v>
      </c>
      <c r="I4445" s="2" t="inlineStr">
        <is>
          <t>$</t>
        </is>
      </c>
      <c r="J4445" s="2">
        <f>HYPERLINK("https://app.astro.lead-studio.pro/product/d910032c-90fc-4143-87f0-80dbfff992de")</f>
      </c>
    </row>
    <row r="4446" spans="1:10" customHeight="0">
      <c r="A4446" s="2" t="inlineStr">
        <is>
          <t>Принтеры</t>
        </is>
      </c>
      <c r="B4446" s="2" t="inlineStr">
        <is>
          <t>KYOCERA</t>
        </is>
      </c>
      <c r="C4446" s="2" t="inlineStr">
        <is>
          <t>1102TG3NL0</t>
        </is>
      </c>
      <c r="D4446" s="2" t="inlineStr">
        <is>
          <t>МФУ лазерный Kyocera Ecosys M3645dn (1102TG3NL0) A4 Duplex Net белый</t>
        </is>
      </c>
      <c r="E4446" s="2" t="inlineStr">
        <is>
          <t>+ </t>
        </is>
      </c>
      <c r="F4446" s="2" t="inlineStr">
        <is>
          <t>+ </t>
        </is>
      </c>
      <c r="H4446" s="2">
        <v>2339</v>
      </c>
      <c r="I4446" s="2" t="inlineStr">
        <is>
          <t>$</t>
        </is>
      </c>
      <c r="J4446" s="2">
        <f>HYPERLINK("https://app.astro.lead-studio.pro/product/393b45da-1274-4213-baf1-011957eb668f")</f>
      </c>
    </row>
    <row r="4447" spans="1:10" customHeight="0">
      <c r="A4447" s="2" t="inlineStr">
        <is>
          <t>Принтеры</t>
        </is>
      </c>
      <c r="B4447" s="2" t="inlineStr">
        <is>
          <t>KYOCERA</t>
        </is>
      </c>
      <c r="C4447" s="2" t="inlineStr">
        <is>
          <t>1102P23NL0/NL1</t>
        </is>
      </c>
      <c r="D4447" s="2" t="inlineStr">
        <is>
          <t>МФУ лазерный Kyocera Ecosys M4125idn (1102P23NL0/NL1) A3 Duplex Net белый</t>
        </is>
      </c>
      <c r="E4447" s="2" t="inlineStr">
        <is>
          <t>+ </t>
        </is>
      </c>
      <c r="F4447" s="2" t="inlineStr">
        <is>
          <t>+ </t>
        </is>
      </c>
      <c r="H4447" s="2">
        <v>2009</v>
      </c>
      <c r="I4447" s="2" t="inlineStr">
        <is>
          <t>$</t>
        </is>
      </c>
      <c r="J4447" s="2">
        <f>HYPERLINK("https://app.astro.lead-studio.pro/product/9417644c-82e3-464a-ad71-e34dc749da3e")</f>
      </c>
    </row>
    <row r="4448" spans="1:10" customHeight="0">
      <c r="A4448" s="2" t="inlineStr">
        <is>
          <t>Принтеры</t>
        </is>
      </c>
      <c r="B4448" s="2" t="inlineStr">
        <is>
          <t>KYOCERA</t>
        </is>
      </c>
      <c r="C4448" s="2" t="inlineStr">
        <is>
          <t>1102P13NL0</t>
        </is>
      </c>
      <c r="D4448" s="2" t="inlineStr">
        <is>
          <t>МФУ лазерный Kyocera Ecosys M4132idn (1102P13NL0) A3 Duplex Net белый</t>
        </is>
      </c>
      <c r="E4448" s="2" t="inlineStr">
        <is>
          <t>+ </t>
        </is>
      </c>
      <c r="F4448" s="2" t="inlineStr">
        <is>
          <t>+ </t>
        </is>
      </c>
      <c r="H4448" s="2">
        <v>2227</v>
      </c>
      <c r="I4448" s="2" t="inlineStr">
        <is>
          <t>$</t>
        </is>
      </c>
      <c r="J4448" s="2">
        <f>HYPERLINK("https://app.astro.lead-studio.pro/product/47a0cf6b-2410-414a-9280-708f148ee299")</f>
      </c>
    </row>
    <row r="4449" spans="1:10" customHeight="0">
      <c r="A4449" s="2" t="inlineStr">
        <is>
          <t>Принтеры</t>
        </is>
      </c>
      <c r="B4449" s="2" t="inlineStr">
        <is>
          <t>KYOCERA</t>
        </is>
      </c>
      <c r="C4449" s="2" t="inlineStr">
        <is>
          <t>1102R73NL0/1102R73NL1</t>
        </is>
      </c>
      <c r="D4449" s="2" t="inlineStr">
        <is>
          <t>МФУ лазерный Kyocera Ecosys M5526cdw/a (1102R73NL0/1102R73NL1) A4 Duplex Net WiFi белый</t>
        </is>
      </c>
      <c r="E4449" s="2" t="inlineStr">
        <is>
          <t>+ </t>
        </is>
      </c>
      <c r="F4449" s="2" t="inlineStr">
        <is>
          <t>+ </t>
        </is>
      </c>
      <c r="H4449" s="2">
        <v>771</v>
      </c>
      <c r="I4449" s="2" t="inlineStr">
        <is>
          <t>$</t>
        </is>
      </c>
      <c r="J4449" s="2">
        <f>HYPERLINK("https://app.astro.lead-studio.pro/product/56a84272-3fd0-41c7-b719-3e7e6c4c7a83")</f>
      </c>
    </row>
    <row r="4450" spans="1:10" customHeight="0">
      <c r="A4450" s="2" t="inlineStr">
        <is>
          <t>Принтеры</t>
        </is>
      </c>
      <c r="B4450" s="2" t="inlineStr">
        <is>
          <t>KYOCERA</t>
        </is>
      </c>
      <c r="C4450" s="2" t="inlineStr">
        <is>
          <t>1102P43NL0</t>
        </is>
      </c>
      <c r="D4450" s="2" t="inlineStr">
        <is>
          <t>МФУ лазерный Kyocera Ecosys M8124cidn (1102P43NL0) A3 Duplex Net белый</t>
        </is>
      </c>
      <c r="E4450" s="2" t="inlineStr">
        <is>
          <t>+ </t>
        </is>
      </c>
      <c r="F4450" s="2" t="inlineStr">
        <is>
          <t>+ </t>
        </is>
      </c>
      <c r="H4450" s="2">
        <v>2283</v>
      </c>
      <c r="I4450" s="2" t="inlineStr">
        <is>
          <t>$</t>
        </is>
      </c>
      <c r="J4450" s="2">
        <f>HYPERLINK("https://app.astro.lead-studio.pro/product/d2cae8da-c871-49fb-99de-38bb4f0b7ce2")</f>
      </c>
    </row>
    <row r="4451" spans="1:10" customHeight="0">
      <c r="A4451" s="2" t="inlineStr">
        <is>
          <t>Принтеры</t>
        </is>
      </c>
      <c r="B4451" s="2" t="inlineStr">
        <is>
          <t>KYOCERA</t>
        </is>
      </c>
      <c r="C4451" s="2" t="inlineStr">
        <is>
          <t>1102Z33NL0</t>
        </is>
      </c>
      <c r="D4451" s="2" t="inlineStr">
        <is>
          <t>МФУ лазерный Kyocera Ecosys MA3500cifx (1102Z33NL0) A4 Duplex белый</t>
        </is>
      </c>
      <c r="E4451" s="2" t="inlineStr">
        <is>
          <t>+ </t>
        </is>
      </c>
      <c r="F4451" s="2" t="inlineStr">
        <is>
          <t>+ </t>
        </is>
      </c>
      <c r="H4451" s="2">
        <v>864</v>
      </c>
      <c r="I4451" s="2" t="inlineStr">
        <is>
          <t>$</t>
        </is>
      </c>
      <c r="J4451" s="2">
        <f>HYPERLINK("https://app.astro.lead-studio.pro/product/822dba6a-d2a6-425b-9f91-ce5747102d38")</f>
      </c>
    </row>
    <row r="4452" spans="1:10" customHeight="0">
      <c r="A4452" s="2" t="inlineStr">
        <is>
          <t>Принтеры</t>
        </is>
      </c>
      <c r="B4452" s="2" t="inlineStr">
        <is>
          <t>KYOCERA</t>
        </is>
      </c>
      <c r="C4452" s="2" t="inlineStr">
        <is>
          <t>1102YK3NL0</t>
        </is>
      </c>
      <c r="D4452" s="2" t="inlineStr">
        <is>
          <t>МФУ лазерный Kyocera Ecosys MA3500cix (1102YK3NL0) A4 Duplex белый</t>
        </is>
      </c>
      <c r="E4452" s="2" t="inlineStr">
        <is>
          <t>+ </t>
        </is>
      </c>
      <c r="F4452" s="2" t="inlineStr">
        <is>
          <t>+ </t>
        </is>
      </c>
      <c r="H4452" s="2">
        <v>775</v>
      </c>
      <c r="I4452" s="2" t="inlineStr">
        <is>
          <t>$</t>
        </is>
      </c>
      <c r="J4452" s="2">
        <f>HYPERLINK("https://app.astro.lead-studio.pro/product/293e5010-6198-45c0-a5bf-f59e9519c4d2")</f>
      </c>
    </row>
    <row r="4453" spans="1:10" customHeight="0">
      <c r="A4453" s="2" t="inlineStr">
        <is>
          <t>Принтеры</t>
        </is>
      </c>
      <c r="B4453" s="2" t="inlineStr">
        <is>
          <t>KYOCERA</t>
        </is>
      </c>
      <c r="C4453" s="2" t="inlineStr">
        <is>
          <t>1102Z43NL0</t>
        </is>
      </c>
      <c r="D4453" s="2" t="inlineStr">
        <is>
          <t>МФУ лазерный Kyocera Ecosys MA4000cix (1102Z43NL0) A4 Duplex белый</t>
        </is>
      </c>
      <c r="E4453" s="2" t="inlineStr">
        <is>
          <t>++ </t>
        </is>
      </c>
      <c r="F4453" s="2" t="inlineStr">
        <is>
          <t>++ </t>
        </is>
      </c>
      <c r="H4453" s="2">
        <v>901</v>
      </c>
      <c r="I4453" s="2" t="inlineStr">
        <is>
          <t>$</t>
        </is>
      </c>
      <c r="J4453" s="2">
        <f>HYPERLINK("https://app.astro.lead-studio.pro/product/0c50d746-95a4-42a8-aa10-53366a022f97")</f>
      </c>
    </row>
    <row r="4454" spans="1:10" customHeight="0">
      <c r="A4454" s="2" t="inlineStr">
        <is>
          <t>Принтеры</t>
        </is>
      </c>
      <c r="B4454" s="2" t="inlineStr">
        <is>
          <t>KYOCERA</t>
        </is>
      </c>
      <c r="C4454" s="2" t="inlineStr">
        <is>
          <t>110C123NL0</t>
        </is>
      </c>
      <c r="D4454" s="2" t="inlineStr">
        <is>
          <t>МФУ лазерный Kyocera Ecosys MA4500fx (110C123NL0) A4 Duplex белый</t>
        </is>
      </c>
      <c r="E4454" s="2" t="inlineStr">
        <is>
          <t>+ </t>
        </is>
      </c>
      <c r="F4454" s="2" t="inlineStr">
        <is>
          <t>+ </t>
        </is>
      </c>
      <c r="H4454" s="2">
        <v>1130</v>
      </c>
      <c r="I4454" s="2" t="inlineStr">
        <is>
          <t>$</t>
        </is>
      </c>
      <c r="J4454" s="2">
        <f>HYPERLINK("https://app.astro.lead-studio.pro/product/53b5091c-ea36-4e85-aaf0-f51fb8c3f1be")</f>
      </c>
    </row>
    <row r="4455" spans="1:10" customHeight="0">
      <c r="A4455" s="2" t="inlineStr">
        <is>
          <t>Принтеры</t>
        </is>
      </c>
      <c r="B4455" s="2" t="inlineStr">
        <is>
          <t>KYOCERA</t>
        </is>
      </c>
      <c r="C4455" s="2" t="inlineStr">
        <is>
          <t>110C103NL0</t>
        </is>
      </c>
      <c r="D4455" s="2" t="inlineStr">
        <is>
          <t>МФУ лазерный Kyocera Ecosys MA4500ifx (110C103NL0) A4 Duplex белый</t>
        </is>
      </c>
      <c r="E4455" s="2" t="inlineStr">
        <is>
          <t>+ </t>
        </is>
      </c>
      <c r="F4455" s="2" t="inlineStr">
        <is>
          <t>+ </t>
        </is>
      </c>
      <c r="H4455" s="2">
        <v>1176</v>
      </c>
      <c r="I4455" s="2" t="inlineStr">
        <is>
          <t>$</t>
        </is>
      </c>
      <c r="J4455" s="2">
        <f>HYPERLINK("https://app.astro.lead-studio.pro/product/366c166b-dab9-4519-a902-f53a672f7ddb")</f>
      </c>
    </row>
    <row r="4456" spans="1:10" customHeight="0">
      <c r="A4456" s="2" t="inlineStr">
        <is>
          <t>Принтеры</t>
        </is>
      </c>
      <c r="B4456" s="2" t="inlineStr">
        <is>
          <t>KYOCERA</t>
        </is>
      </c>
      <c r="C4456" s="2" t="inlineStr">
        <is>
          <t>110C113NL0</t>
        </is>
      </c>
      <c r="D4456" s="2" t="inlineStr">
        <is>
          <t>МФУ лазерный Kyocera Ecosys MA4500ix (110C113NL0) A4 Duplex белый</t>
        </is>
      </c>
      <c r="E4456" s="2" t="inlineStr">
        <is>
          <t>++ </t>
        </is>
      </c>
      <c r="F4456" s="2" t="inlineStr">
        <is>
          <t>++ </t>
        </is>
      </c>
      <c r="H4456" s="2">
        <v>1166</v>
      </c>
      <c r="I4456" s="2" t="inlineStr">
        <is>
          <t>$</t>
        </is>
      </c>
      <c r="J4456" s="2">
        <f>HYPERLINK("https://app.astro.lead-studio.pro/product/0f7cde62-bf89-4145-b467-3e26b0acaaba")</f>
      </c>
    </row>
    <row r="4457" spans="1:10" customHeight="0">
      <c r="A4457" s="2" t="inlineStr">
        <is>
          <t>Принтеры</t>
        </is>
      </c>
      <c r="B4457" s="2" t="inlineStr">
        <is>
          <t>KYOCERA</t>
        </is>
      </c>
      <c r="C4457" s="2" t="inlineStr">
        <is>
          <t>110C133NL0</t>
        </is>
      </c>
      <c r="D4457" s="2" t="inlineStr">
        <is>
          <t>МФУ лазерный Kyocera Ecosys MA4500x (110C133NL0) A4 Duplex белый</t>
        </is>
      </c>
      <c r="E4457" s="2" t="inlineStr">
        <is>
          <t>+ </t>
        </is>
      </c>
      <c r="F4457" s="2" t="inlineStr">
        <is>
          <t>+ </t>
        </is>
      </c>
      <c r="H4457" s="2">
        <v>1017</v>
      </c>
      <c r="I4457" s="2" t="inlineStr">
        <is>
          <t>$</t>
        </is>
      </c>
      <c r="J4457" s="2">
        <f>HYPERLINK("https://app.astro.lead-studio.pro/product/8817647e-e839-47ae-8c1e-ec087121e9e3")</f>
      </c>
    </row>
    <row r="4458" spans="1:10" customHeight="0">
      <c r="A4458" s="2" t="inlineStr">
        <is>
          <t>Принтеры</t>
        </is>
      </c>
      <c r="B4458" s="2" t="inlineStr">
        <is>
          <t>KYOCERA</t>
        </is>
      </c>
      <c r="C4458" s="2" t="inlineStr">
        <is>
          <t>1102M63RU0/RUV/RU2/NX2</t>
        </is>
      </c>
      <c r="D4458" s="2" t="inlineStr">
        <is>
          <t>МФУ лазерный Kyocera FS-1025MFP (1102M63RU0/RUV/RU2/NX2) A4 Duplex белый</t>
        </is>
      </c>
      <c r="E4458" s="2" t="inlineStr">
        <is>
          <t>+ </t>
        </is>
      </c>
      <c r="F4458" s="2" t="inlineStr">
        <is>
          <t>+ </t>
        </is>
      </c>
      <c r="H4458" s="2">
        <v>502</v>
      </c>
      <c r="I4458" s="2" t="inlineStr">
        <is>
          <t>$</t>
        </is>
      </c>
      <c r="J4458" s="2">
        <f>HYPERLINK("https://app.astro.lead-studio.pro/product/3b8edd4c-7101-4043-8749-8b4934cb3181")</f>
      </c>
    </row>
    <row r="4459" spans="1:10" customHeight="0">
      <c r="A4459" s="2" t="inlineStr">
        <is>
          <t>Принтеры</t>
        </is>
      </c>
      <c r="B4459" s="2" t="inlineStr">
        <is>
          <t>KYOCERA</t>
        </is>
      </c>
      <c r="C4459" s="2" t="inlineStr">
        <is>
          <t>1102M73RU0/RUV/RU2</t>
        </is>
      </c>
      <c r="D4459" s="2" t="inlineStr">
        <is>
          <t>МФУ лазерный Kyocera FS-1125MFP (1102M73RU0/RUV/RU2) A4 Duplex белый</t>
        </is>
      </c>
      <c r="E4459" s="2" t="inlineStr">
        <is>
          <t>+ </t>
        </is>
      </c>
      <c r="F4459" s="2" t="inlineStr">
        <is>
          <t>+ </t>
        </is>
      </c>
      <c r="H4459" s="2">
        <v>608</v>
      </c>
      <c r="I4459" s="2" t="inlineStr">
        <is>
          <t>$</t>
        </is>
      </c>
      <c r="J4459" s="2">
        <f>HYPERLINK("https://app.astro.lead-studio.pro/product/ab9427a1-1b67-418b-b2af-527942a5b722")</f>
      </c>
    </row>
    <row r="4460" spans="1:10" customHeight="0">
      <c r="A4460" s="2" t="inlineStr">
        <is>
          <t>Принтеры</t>
        </is>
      </c>
      <c r="B4460" s="2" t="inlineStr">
        <is>
          <t>KYOCERA</t>
        </is>
      </c>
      <c r="D4460" s="2" t="inlineStr">
        <is>
          <t>МФУ лазерный Kyocera M2040DN A4 Duplex белый/серый (в комплекте: 2 картриджа)</t>
        </is>
      </c>
      <c r="E4460" s="2" t="inlineStr">
        <is>
          <t>+++ </t>
        </is>
      </c>
      <c r="F4460" s="2" t="inlineStr">
        <is>
          <t>+++ </t>
        </is>
      </c>
      <c r="H4460" s="2">
        <v>1133</v>
      </c>
      <c r="I4460" s="2" t="inlineStr">
        <is>
          <t>$</t>
        </is>
      </c>
    </row>
    <row r="4461" spans="1:10" customHeight="0">
      <c r="A4461" s="2" t="inlineStr">
        <is>
          <t>Принтеры</t>
        </is>
      </c>
      <c r="B4461" s="2" t="inlineStr">
        <is>
          <t>KYOCERA</t>
        </is>
      </c>
      <c r="C4461" s="2" t="inlineStr">
        <is>
          <t>1102YP3NL0/1102YP3NLV</t>
        </is>
      </c>
      <c r="D4461" s="2" t="inlineStr">
        <is>
          <t>МФУ лазерный Kyocera TASKalfa 2554ci (Базовый блок) (1102YP3NL0/1102YP3NLV) A3 Duplex Net темно-серый</t>
        </is>
      </c>
      <c r="E4461" s="2" t="inlineStr">
        <is>
          <t>++ </t>
        </is>
      </c>
      <c r="F4461" s="2" t="inlineStr">
        <is>
          <t>++ </t>
        </is>
      </c>
      <c r="H4461" s="2">
        <v>2726</v>
      </c>
      <c r="I4461" s="2" t="inlineStr">
        <is>
          <t>$</t>
        </is>
      </c>
      <c r="J4461" s="2">
        <f>HYPERLINK("https://app.astro.lead-studio.pro/product/ba699209-3326-4bf1-9527-fe79b115a34d")</f>
      </c>
    </row>
    <row r="4462" spans="1:10" customHeight="0">
      <c r="A4462" s="2" t="inlineStr">
        <is>
          <t>Принтеры</t>
        </is>
      </c>
      <c r="B4462" s="2" t="inlineStr">
        <is>
          <t>KYOCERA</t>
        </is>
      </c>
      <c r="C4462" s="2" t="inlineStr">
        <is>
          <t>1102V43NL0</t>
        </is>
      </c>
      <c r="D4462" s="2" t="inlineStr">
        <is>
          <t>МФУ лазерный Kyocera TASKalfa 358ci (Базовый блок) (1102V43NL0) A4 Duplex Net черный</t>
        </is>
      </c>
      <c r="E4462" s="2" t="inlineStr">
        <is>
          <t>+ </t>
        </is>
      </c>
      <c r="F4462" s="2" t="inlineStr">
        <is>
          <t>+ </t>
        </is>
      </c>
      <c r="H4462" s="2">
        <v>2387</v>
      </c>
      <c r="I4462" s="2" t="inlineStr">
        <is>
          <t>$</t>
        </is>
      </c>
      <c r="J4462" s="2">
        <f>HYPERLINK("https://app.astro.lead-studio.pro/product/7d60abed-6d5f-4d2d-941e-0bf650ab29cb")</f>
      </c>
    </row>
    <row r="4463" spans="1:10" customHeight="0">
      <c r="A4463" s="2" t="inlineStr">
        <is>
          <t>Принтеры</t>
        </is>
      </c>
      <c r="B4463" s="2" t="inlineStr">
        <is>
          <t>KYOCERA</t>
        </is>
      </c>
      <c r="C4463" s="2" t="inlineStr">
        <is>
          <t>1102YS3NL0</t>
        </is>
      </c>
      <c r="D4463" s="2" t="inlineStr">
        <is>
          <t>МФУ лазерный Kyocera TASKalfa 5004i (Базовый блок) (1102YS3NL0) A3 Duplex темно-серый</t>
        </is>
      </c>
      <c r="E4463" s="2" t="inlineStr">
        <is>
          <t>+ </t>
        </is>
      </c>
      <c r="F4463" s="2" t="inlineStr">
        <is>
          <t>+ </t>
        </is>
      </c>
      <c r="H4463" s="2">
        <v>4980</v>
      </c>
      <c r="I4463" s="2" t="inlineStr">
        <is>
          <t>$</t>
        </is>
      </c>
      <c r="J4463" s="2">
        <f>HYPERLINK("https://app.astro.lead-studio.pro/product/7a841028-bf24-4fa2-a2ff-1cafe7c6c74f")</f>
      </c>
    </row>
    <row r="4464" spans="1:10" customHeight="0">
      <c r="A4464" s="2" t="inlineStr">
        <is>
          <t>Принтеры</t>
        </is>
      </c>
      <c r="B4464" s="2" t="inlineStr">
        <is>
          <t>KYOCERA</t>
        </is>
      </c>
      <c r="C4464" s="2" t="inlineStr">
        <is>
          <t>1102XC3NL0</t>
        </is>
      </c>
      <c r="D4464" s="2" t="inlineStr">
        <is>
          <t>МФУ лазерный Kyocera TASKalfa 7054ci (Базовый блок) (1102XC3NL0) A3 Duplex черный</t>
        </is>
      </c>
      <c r="E4464" s="2" t="inlineStr">
        <is>
          <t>+ </t>
        </is>
      </c>
      <c r="F4464" s="2" t="inlineStr">
        <is>
          <t>+ </t>
        </is>
      </c>
      <c r="H4464" s="2">
        <v>8725</v>
      </c>
      <c r="I4464" s="2" t="inlineStr">
        <is>
          <t>$</t>
        </is>
      </c>
      <c r="J4464" s="2">
        <f>HYPERLINK("https://app.astro.lead-studio.pro/product/00d1a709-0bef-4432-8887-fa7df2540637")</f>
      </c>
    </row>
    <row r="4465" spans="1:10" customHeight="0">
      <c r="A4465" s="2" t="inlineStr">
        <is>
          <t>Принтеры</t>
        </is>
      </c>
      <c r="B4465" s="2" t="inlineStr">
        <is>
          <t>KYOCERA</t>
        </is>
      </c>
      <c r="C4465" s="2" t="inlineStr">
        <is>
          <t>1102ZS3NL0</t>
        </is>
      </c>
      <c r="D4465" s="2" t="inlineStr">
        <is>
          <t>МФУ лазерный Kyocera TASKalfa MZ4000i (Базовый блок) (1102ZS3NL0) A3 Duplex Net черный</t>
        </is>
      </c>
      <c r="E4465" s="2" t="inlineStr">
        <is>
          <t>+ </t>
        </is>
      </c>
      <c r="F4465" s="2" t="inlineStr">
        <is>
          <t>+ </t>
        </is>
      </c>
      <c r="H4465" s="2">
        <v>2844</v>
      </c>
      <c r="I4465" s="2" t="inlineStr">
        <is>
          <t>$</t>
        </is>
      </c>
      <c r="J4465" s="2">
        <f>HYPERLINK("https://app.astro.lead-studio.pro/product/d50e1b69-1b9b-486b-8f24-0d708dd05a70")</f>
      </c>
    </row>
    <row r="4466" spans="1:10" customHeight="0">
      <c r="A4466" s="2" t="inlineStr">
        <is>
          <t>Принтеры</t>
        </is>
      </c>
      <c r="B4466" s="2" t="inlineStr">
        <is>
          <t>PANTUM</t>
        </is>
      </c>
      <c r="C4466" s="2" t="inlineStr">
        <is>
          <t>BM5100ADN</t>
        </is>
      </c>
      <c r="D4466" s="2" t="inlineStr">
        <is>
          <t>МФУ лазерный Pantum BM5100ADN A4 Duplex Net белый</t>
        </is>
      </c>
      <c r="E4466" s="2" t="inlineStr">
        <is>
          <t>+++ </t>
        </is>
      </c>
      <c r="F4466" s="2" t="inlineStr">
        <is>
          <t>+++ </t>
        </is>
      </c>
      <c r="H4466" s="2">
        <v>1091</v>
      </c>
      <c r="I4466" s="2" t="inlineStr">
        <is>
          <t>$</t>
        </is>
      </c>
      <c r="J4466" s="2">
        <f>HYPERLINK("https://app.astro.lead-studio.pro/product/7785b1c1-9176-415c-972d-9d544d19cd0b")</f>
      </c>
    </row>
    <row r="4467" spans="1:10" customHeight="0">
      <c r="A4467" s="2" t="inlineStr">
        <is>
          <t>Принтеры</t>
        </is>
      </c>
      <c r="B4467" s="2" t="inlineStr">
        <is>
          <t>PANTUM</t>
        </is>
      </c>
      <c r="C4467" s="2" t="inlineStr">
        <is>
          <t>BM5100ADW</t>
        </is>
      </c>
      <c r="D4467" s="2" t="inlineStr">
        <is>
          <t>МФУ лазерный Pantum BM5100ADW A4 Duplex Net WiFi белый</t>
        </is>
      </c>
      <c r="E4467" s="2" t="inlineStr">
        <is>
          <t>+++ </t>
        </is>
      </c>
      <c r="F4467" s="2" t="inlineStr">
        <is>
          <t>+++ </t>
        </is>
      </c>
      <c r="H4467" s="2">
        <v>1109</v>
      </c>
      <c r="I4467" s="2" t="inlineStr">
        <is>
          <t>$</t>
        </is>
      </c>
      <c r="J4467" s="2">
        <f>HYPERLINK("https://app.astro.lead-studio.pro/product/a6951ff2-8df9-4d18-b9b4-ec46fc2efdab")</f>
      </c>
    </row>
    <row r="4468" spans="1:10" customHeight="0">
      <c r="A4468" s="2" t="inlineStr">
        <is>
          <t>Принтеры</t>
        </is>
      </c>
      <c r="B4468" s="2" t="inlineStr">
        <is>
          <t>PANTUM</t>
        </is>
      </c>
      <c r="C4468" s="2" t="inlineStr">
        <is>
          <t>BM5100FDN</t>
        </is>
      </c>
      <c r="D4468" s="2" t="inlineStr">
        <is>
          <t>МФУ лазерный Pantum BM5100FDN A4 Duplex Net белый</t>
        </is>
      </c>
      <c r="E4468" s="2" t="inlineStr">
        <is>
          <t>+++ </t>
        </is>
      </c>
      <c r="F4468" s="2" t="inlineStr">
        <is>
          <t>+++ </t>
        </is>
      </c>
      <c r="H4468" s="2">
        <v>1096</v>
      </c>
      <c r="I4468" s="2" t="inlineStr">
        <is>
          <t>$</t>
        </is>
      </c>
      <c r="J4468" s="2">
        <f>HYPERLINK("https://app.astro.lead-studio.pro/product/8ade0c65-dbb9-4996-9a85-e2821aa96499")</f>
      </c>
    </row>
    <row r="4469" spans="1:10" customHeight="0">
      <c r="A4469" s="2" t="inlineStr">
        <is>
          <t>Принтеры</t>
        </is>
      </c>
      <c r="B4469" s="2" t="inlineStr">
        <is>
          <t>PANTUM</t>
        </is>
      </c>
      <c r="C4469" s="2" t="inlineStr">
        <is>
          <t>BM5100FDW</t>
        </is>
      </c>
      <c r="D4469" s="2" t="inlineStr">
        <is>
          <t>МФУ лазерный Pantum BM5100FDW A4 Duplex Net WiFi белый</t>
        </is>
      </c>
      <c r="E4469" s="2" t="inlineStr">
        <is>
          <t>+++ </t>
        </is>
      </c>
      <c r="F4469" s="2" t="inlineStr">
        <is>
          <t>+++ </t>
        </is>
      </c>
      <c r="H4469" s="2">
        <v>1114</v>
      </c>
      <c r="I4469" s="2" t="inlineStr">
        <is>
          <t>$</t>
        </is>
      </c>
      <c r="J4469" s="2">
        <f>HYPERLINK("https://app.astro.lead-studio.pro/product/25748a2d-1d8c-43db-93d9-d315aef469a9")</f>
      </c>
    </row>
    <row r="4470" spans="1:10" customHeight="0">
      <c r="A4470" s="2" t="inlineStr">
        <is>
          <t>Принтеры</t>
        </is>
      </c>
      <c r="B4470" s="2" t="inlineStr">
        <is>
          <t>PANTUM</t>
        </is>
      </c>
      <c r="C4470" s="2" t="inlineStr">
        <is>
          <t>CM1100ADN</t>
        </is>
      </c>
      <c r="D4470" s="2" t="inlineStr">
        <is>
          <t>МФУ лазерный Pantum CM1100ADN A4 Duplex Net серый</t>
        </is>
      </c>
      <c r="E4470" s="2" t="inlineStr">
        <is>
          <t>+++ </t>
        </is>
      </c>
      <c r="F4470" s="2" t="inlineStr">
        <is>
          <t>+++ </t>
        </is>
      </c>
      <c r="H4470" s="2">
        <v>680</v>
      </c>
      <c r="I4470" s="2" t="inlineStr">
        <is>
          <t>$</t>
        </is>
      </c>
      <c r="J4470" s="2">
        <f>HYPERLINK("https://app.astro.lead-studio.pro/product/a2b99c24-98a5-49db-ac8d-f8235acd8e1d")</f>
      </c>
    </row>
    <row r="4471" spans="1:10" customHeight="0">
      <c r="A4471" s="2" t="inlineStr">
        <is>
          <t>Принтеры</t>
        </is>
      </c>
      <c r="B4471" s="2" t="inlineStr">
        <is>
          <t>PANTUM</t>
        </is>
      </c>
      <c r="C4471" s="2" t="inlineStr">
        <is>
          <t>CM1100ADW</t>
        </is>
      </c>
      <c r="D4471" s="2" t="inlineStr">
        <is>
          <t>МФУ лазерный Pantum CM1100ADW A4 Net WiFi белый</t>
        </is>
      </c>
      <c r="E4471" s="2" t="inlineStr">
        <is>
          <t>+++ </t>
        </is>
      </c>
      <c r="F4471" s="2" t="inlineStr">
        <is>
          <t>+++ </t>
        </is>
      </c>
      <c r="H4471" s="2">
        <v>741</v>
      </c>
      <c r="I4471" s="2" t="inlineStr">
        <is>
          <t>$</t>
        </is>
      </c>
      <c r="J4471" s="2">
        <f>HYPERLINK("https://app.astro.lead-studio.pro/product/347409a3-f370-4998-a8bf-89e5437d6796")</f>
      </c>
    </row>
    <row r="4472" spans="1:10" customHeight="0">
      <c r="A4472" s="2" t="inlineStr">
        <is>
          <t>Принтеры</t>
        </is>
      </c>
      <c r="B4472" s="2" t="inlineStr">
        <is>
          <t>PANTUM</t>
        </is>
      </c>
      <c r="C4472" s="2" t="inlineStr">
        <is>
          <t>CM1100DN</t>
        </is>
      </c>
      <c r="D4472" s="2" t="inlineStr">
        <is>
          <t>МФУ лазерный Pantum CM1100DN A4 Duplex Net серый</t>
        </is>
      </c>
      <c r="E4472" s="2" t="inlineStr">
        <is>
          <t>++ </t>
        </is>
      </c>
      <c r="F4472" s="2" t="inlineStr">
        <is>
          <t>++ </t>
        </is>
      </c>
      <c r="H4472" s="2">
        <v>572</v>
      </c>
      <c r="I4472" s="2" t="inlineStr">
        <is>
          <t>$</t>
        </is>
      </c>
      <c r="J4472" s="2">
        <f>HYPERLINK("https://app.astro.lead-studio.pro/product/71015d2d-7bac-4718-a600-bad67a6b40e8")</f>
      </c>
    </row>
    <row r="4473" spans="1:10" customHeight="0">
      <c r="A4473" s="2" t="inlineStr">
        <is>
          <t>Принтеры</t>
        </is>
      </c>
      <c r="B4473" s="2" t="inlineStr">
        <is>
          <t>PANTUM</t>
        </is>
      </c>
      <c r="C4473" s="2" t="inlineStr">
        <is>
          <t>CM1100DW</t>
        </is>
      </c>
      <c r="D4473" s="2" t="inlineStr">
        <is>
          <t>МФУ лазерный Pantum CM1100DW A4 Duplex Net WiFi белый</t>
        </is>
      </c>
      <c r="E4473" s="2" t="inlineStr">
        <is>
          <t>+ </t>
        </is>
      </c>
      <c r="F4473" s="2" t="inlineStr">
        <is>
          <t>+ </t>
        </is>
      </c>
      <c r="H4473" s="2">
        <v>582</v>
      </c>
      <c r="I4473" s="2" t="inlineStr">
        <is>
          <t>$</t>
        </is>
      </c>
      <c r="J4473" s="2">
        <f>HYPERLINK("https://app.astro.lead-studio.pro/product/56bc3f46-18e4-48c9-9eb4-01af89115c71")</f>
      </c>
    </row>
    <row r="4474" spans="1:10" customHeight="0">
      <c r="A4474" s="2" t="inlineStr">
        <is>
          <t>Принтеры</t>
        </is>
      </c>
      <c r="B4474" s="2" t="inlineStr">
        <is>
          <t>PANTUM</t>
        </is>
      </c>
      <c r="C4474" s="2" t="inlineStr">
        <is>
          <t>M6506NW</t>
        </is>
      </c>
      <c r="D4474" s="2" t="inlineStr">
        <is>
          <t>МФУ лазерный Pantum M6506NW A4 Net WiFi серый</t>
        </is>
      </c>
      <c r="E4474" s="2" t="inlineStr">
        <is>
          <t>+++ </t>
        </is>
      </c>
      <c r="F4474" s="2" t="inlineStr">
        <is>
          <t>+++ </t>
        </is>
      </c>
      <c r="H4474" s="2">
        <v>1108</v>
      </c>
      <c r="I4474" s="2" t="inlineStr">
        <is>
          <t>$</t>
        </is>
      </c>
      <c r="J4474" s="2">
        <f>HYPERLINK("https://app.astro.lead-studio.pro/product/1bc6ad9e-075c-41d3-92d8-e322731a0607")</f>
      </c>
    </row>
    <row r="4475" spans="1:10" customHeight="0">
      <c r="A4475" s="2" t="inlineStr">
        <is>
          <t>Принтеры</t>
        </is>
      </c>
      <c r="B4475" s="2" t="inlineStr">
        <is>
          <t>PANTUM</t>
        </is>
      </c>
      <c r="C4475" s="2" t="inlineStr">
        <is>
          <t>M6700D</t>
        </is>
      </c>
      <c r="D4475" s="2" t="inlineStr">
        <is>
          <t>МФУ лазерный Pantum M6700D A4 Duplex серый</t>
        </is>
      </c>
      <c r="E4475" s="2" t="inlineStr">
        <is>
          <t>+++ </t>
        </is>
      </c>
      <c r="F4475" s="2" t="inlineStr">
        <is>
          <t>+++ </t>
        </is>
      </c>
      <c r="H4475" s="2">
        <v>343</v>
      </c>
      <c r="I4475" s="2" t="inlineStr">
        <is>
          <t>$</t>
        </is>
      </c>
      <c r="J4475" s="2">
        <f>HYPERLINK("https://app.astro.lead-studio.pro/product/c8c026ad-f6df-4d09-9297-b857966ae66f")</f>
      </c>
    </row>
    <row r="4476" spans="1:10" customHeight="0">
      <c r="A4476" s="2" t="inlineStr">
        <is>
          <t>Принтеры</t>
        </is>
      </c>
      <c r="B4476" s="2" t="inlineStr">
        <is>
          <t>PANTUM</t>
        </is>
      </c>
      <c r="C4476" s="2" t="inlineStr">
        <is>
          <t>M6700DW</t>
        </is>
      </c>
      <c r="D4476" s="2" t="inlineStr">
        <is>
          <t>МФУ лазерный Pantum M6700DW A4 Duplex WiFi белый</t>
        </is>
      </c>
      <c r="E4476" s="2" t="inlineStr">
        <is>
          <t>+++ </t>
        </is>
      </c>
      <c r="F4476" s="2" t="inlineStr">
        <is>
          <t>+++ </t>
        </is>
      </c>
      <c r="H4476" s="2">
        <v>365</v>
      </c>
      <c r="I4476" s="2" t="inlineStr">
        <is>
          <t>$</t>
        </is>
      </c>
      <c r="J4476" s="2">
        <f>HYPERLINK("https://app.astro.lead-studio.pro/product/7f5b5dbb-8b49-4e9f-be2c-37f99a42eb5f")</f>
      </c>
    </row>
    <row r="4477" spans="1:10" customHeight="0">
      <c r="A4477" s="2" t="inlineStr">
        <is>
          <t>Принтеры</t>
        </is>
      </c>
      <c r="B4477" s="2" t="inlineStr">
        <is>
          <t>PANTUM</t>
        </is>
      </c>
      <c r="C4477" s="2" t="inlineStr">
        <is>
          <t>M7100DN</t>
        </is>
      </c>
      <c r="D4477" s="2" t="inlineStr">
        <is>
          <t>МФУ лазерный Pantum M7100DN A4 Duplex Net белый</t>
        </is>
      </c>
      <c r="E4477" s="2" t="inlineStr">
        <is>
          <t>+++ </t>
        </is>
      </c>
      <c r="F4477" s="2" t="inlineStr">
        <is>
          <t>+++ </t>
        </is>
      </c>
      <c r="H4477" s="2">
        <v>1092</v>
      </c>
      <c r="I4477" s="2" t="inlineStr">
        <is>
          <t>$</t>
        </is>
      </c>
      <c r="J4477" s="2">
        <f>HYPERLINK("https://app.astro.lead-studio.pro/product/1d8ffc00-ba2a-4fda-82c6-4f21b1f9fbbf")</f>
      </c>
    </row>
    <row r="4478" spans="1:10" customHeight="0">
      <c r="A4478" s="2" t="inlineStr">
        <is>
          <t>Принтеры</t>
        </is>
      </c>
      <c r="B4478" s="2" t="inlineStr">
        <is>
          <t>PANTUM</t>
        </is>
      </c>
      <c r="C4478" s="2" t="inlineStr">
        <is>
          <t>M7100DW</t>
        </is>
      </c>
      <c r="D4478" s="2" t="inlineStr">
        <is>
          <t>МФУ лазерный Pantum M7100DW A4 Duplex Net WiFi белый</t>
        </is>
      </c>
      <c r="E4478" s="2" t="inlineStr">
        <is>
          <t>+++ </t>
        </is>
      </c>
      <c r="F4478" s="2" t="inlineStr">
        <is>
          <t>+++ </t>
        </is>
      </c>
      <c r="H4478" s="2">
        <v>1108</v>
      </c>
      <c r="I4478" s="2" t="inlineStr">
        <is>
          <t>$</t>
        </is>
      </c>
      <c r="J4478" s="2">
        <f>HYPERLINK("https://app.astro.lead-studio.pro/product/f4b2fa0d-b7af-45f5-ae99-c105cba97abd")</f>
      </c>
    </row>
    <row r="4479" spans="1:10" customHeight="0">
      <c r="A4479" s="2" t="inlineStr">
        <is>
          <t>Принтеры</t>
        </is>
      </c>
      <c r="B4479" s="2" t="inlineStr">
        <is>
          <t>PANTUM</t>
        </is>
      </c>
      <c r="C4479" s="2" t="inlineStr">
        <is>
          <t>M7102DN</t>
        </is>
      </c>
      <c r="D4479" s="2" t="inlineStr">
        <is>
          <t>МФУ лазерный Pantum M7102DN A4 Duplex Net серый</t>
        </is>
      </c>
      <c r="E4479" s="2" t="inlineStr">
        <is>
          <t>+++ </t>
        </is>
      </c>
      <c r="F4479" s="2" t="inlineStr">
        <is>
          <t>+++ </t>
        </is>
      </c>
      <c r="H4479" s="2">
        <v>1111</v>
      </c>
      <c r="I4479" s="2" t="inlineStr">
        <is>
          <t>$</t>
        </is>
      </c>
      <c r="J4479" s="2">
        <f>HYPERLINK("https://app.astro.lead-studio.pro/product/1e6b843f-e431-4b32-a4d0-7abb99717132")</f>
      </c>
    </row>
    <row r="4480" spans="1:10" customHeight="0">
      <c r="A4480" s="2" t="inlineStr">
        <is>
          <t>Принтеры</t>
        </is>
      </c>
      <c r="B4480" s="2" t="inlineStr">
        <is>
          <t>RICOH</t>
        </is>
      </c>
      <c r="C4480" s="2" t="inlineStr">
        <is>
          <t>418146</t>
        </is>
      </c>
      <c r="D4480" s="2" t="inlineStr">
        <is>
          <t>МФУ лазерный Ricoh IM 2702 (418146) A3 Duplex WiFi серый</t>
        </is>
      </c>
      <c r="E4480" s="2" t="inlineStr">
        <is>
          <t>+ </t>
        </is>
      </c>
      <c r="F4480" s="2" t="inlineStr">
        <is>
          <t>+ </t>
        </is>
      </c>
      <c r="H4480" s="2">
        <v>1374</v>
      </c>
      <c r="I4480" s="2" t="inlineStr">
        <is>
          <t>$</t>
        </is>
      </c>
      <c r="J4480" s="2">
        <f>HYPERLINK("https://app.astro.lead-studio.pro/product/5e3ed211-416e-4435-92b5-e2d8a91c870b")</f>
      </c>
    </row>
    <row r="4481" spans="1:10" customHeight="0">
      <c r="A4481" s="2" t="inlineStr">
        <is>
          <t>Принтеры</t>
        </is>
      </c>
      <c r="B4481" s="2" t="inlineStr">
        <is>
          <t>RICOH</t>
        </is>
      </c>
      <c r="C4481" s="2" t="inlineStr">
        <is>
          <t>418834</t>
        </is>
      </c>
      <c r="D4481" s="2" t="inlineStr">
        <is>
          <t>МФУ лазерный Ricoh IM 3000 (418834) A3 Duplex белый</t>
        </is>
      </c>
      <c r="E4481" s="2" t="inlineStr">
        <is>
          <t>+ </t>
        </is>
      </c>
      <c r="F4481" s="2" t="inlineStr">
        <is>
          <t>+ </t>
        </is>
      </c>
      <c r="H4481" s="2">
        <v>4205</v>
      </c>
      <c r="I4481" s="2" t="inlineStr">
        <is>
          <t>$</t>
        </is>
      </c>
      <c r="J4481" s="2">
        <f>HYPERLINK("https://app.astro.lead-studio.pro/product/a4ef6156-3ea5-44c3-b93c-367e0fe98435")</f>
      </c>
    </row>
    <row r="4482" spans="1:10" customHeight="0">
      <c r="A4482" s="2" t="inlineStr">
        <is>
          <t>Принтеры</t>
        </is>
      </c>
      <c r="B4482" s="2" t="inlineStr">
        <is>
          <t>RICOH</t>
        </is>
      </c>
      <c r="C4482" s="2" t="inlineStr">
        <is>
          <t>418459</t>
        </is>
      </c>
      <c r="D4482" s="2" t="inlineStr">
        <is>
          <t>МФУ лазерный Ricoh IM 550F (418459) A4 Duplex белый</t>
        </is>
      </c>
      <c r="E4482" s="2" t="inlineStr">
        <is>
          <t>+ </t>
        </is>
      </c>
      <c r="F4482" s="2" t="inlineStr">
        <is>
          <t>+ </t>
        </is>
      </c>
      <c r="H4482" s="2">
        <v>3478</v>
      </c>
      <c r="I4482" s="2" t="inlineStr">
        <is>
          <t>$</t>
        </is>
      </c>
      <c r="J4482" s="2">
        <f>HYPERLINK("https://app.astro.lead-studio.pro/product/21ed5165-8c38-4d01-af15-d8a829530533")</f>
      </c>
    </row>
    <row r="4483" spans="1:10" customHeight="0">
      <c r="A4483" s="2" t="inlineStr">
        <is>
          <t>Принтеры</t>
        </is>
      </c>
      <c r="B4483" s="2" t="inlineStr">
        <is>
          <t>RICOH</t>
        </is>
      </c>
      <c r="C4483" s="2" t="inlineStr">
        <is>
          <t>419345</t>
        </is>
      </c>
      <c r="D4483" s="2" t="inlineStr">
        <is>
          <t>МФУ лазерный Ricoh IM C2010 (419345) A3 Duplex серый</t>
        </is>
      </c>
      <c r="E4483" s="2" t="inlineStr">
        <is>
          <t>+ </t>
        </is>
      </c>
      <c r="F4483" s="2" t="inlineStr">
        <is>
          <t>+ </t>
        </is>
      </c>
      <c r="H4483" s="2">
        <v>3476</v>
      </c>
      <c r="I4483" s="2" t="inlineStr">
        <is>
          <t>$</t>
        </is>
      </c>
      <c r="J4483" s="2">
        <f>HYPERLINK("https://app.astro.lead-studio.pro/product/2f8908c3-9156-4bbc-ab74-4f1d8ca3060c")</f>
      </c>
    </row>
    <row r="4484" spans="1:10" customHeight="0">
      <c r="A4484" s="2" t="inlineStr">
        <is>
          <t>Принтеры</t>
        </is>
      </c>
      <c r="B4484" s="2" t="inlineStr">
        <is>
          <t>RICOH</t>
        </is>
      </c>
      <c r="C4484" s="2" t="inlineStr">
        <is>
          <t>419355</t>
        </is>
      </c>
      <c r="D4484" s="2" t="inlineStr">
        <is>
          <t>МФУ лазерный Ricoh IM C2510 (419355) A3 Duplex белый</t>
        </is>
      </c>
      <c r="E4484" s="2" t="inlineStr">
        <is>
          <t>+ </t>
        </is>
      </c>
      <c r="F4484" s="2" t="inlineStr">
        <is>
          <t>+ </t>
        </is>
      </c>
      <c r="H4484" s="2">
        <v>3965</v>
      </c>
      <c r="I4484" s="2" t="inlineStr">
        <is>
          <t>$</t>
        </is>
      </c>
      <c r="J4484" s="2">
        <f>HYPERLINK("https://app.astro.lead-studio.pro/product/6cc0eace-3220-4aa0-a081-3f450f845c2c")</f>
      </c>
    </row>
    <row r="4485" spans="1:10" customHeight="0">
      <c r="A4485" s="2" t="inlineStr">
        <is>
          <t>Принтеры</t>
        </is>
      </c>
      <c r="B4485" s="2" t="inlineStr">
        <is>
          <t>RICOH</t>
        </is>
      </c>
      <c r="C4485" s="2" t="inlineStr">
        <is>
          <t>419308</t>
        </is>
      </c>
      <c r="D4485" s="2" t="inlineStr">
        <is>
          <t>МФУ лазерный Ricoh IM C3010 (419308) A3 Duplex серый</t>
        </is>
      </c>
      <c r="E4485" s="2" t="inlineStr">
        <is>
          <t>+ </t>
        </is>
      </c>
      <c r="F4485" s="2" t="inlineStr">
        <is>
          <t>+ </t>
        </is>
      </c>
      <c r="H4485" s="2">
        <v>5196</v>
      </c>
      <c r="I4485" s="2" t="inlineStr">
        <is>
          <t>$</t>
        </is>
      </c>
      <c r="J4485" s="2">
        <f>HYPERLINK("https://app.astro.lead-studio.pro/product/57aa1306-b9f5-41ac-982a-ef24bd469860")</f>
      </c>
    </row>
    <row r="4486" spans="1:10" customHeight="0">
      <c r="A4486" s="2" t="inlineStr">
        <is>
          <t>Принтеры</t>
        </is>
      </c>
      <c r="B4486" s="2" t="inlineStr">
        <is>
          <t>RICOH</t>
        </is>
      </c>
      <c r="C4486" s="2" t="inlineStr">
        <is>
          <t>419326</t>
        </is>
      </c>
      <c r="D4486" s="2" t="inlineStr">
        <is>
          <t>МФУ лазерный Ricoh IM C4510 (419326) A3 Duplex белый</t>
        </is>
      </c>
      <c r="E4486" s="2" t="inlineStr">
        <is>
          <t>+ </t>
        </is>
      </c>
      <c r="F4486" s="2" t="inlineStr">
        <is>
          <t>+ </t>
        </is>
      </c>
      <c r="H4486" s="2">
        <v>6508</v>
      </c>
      <c r="I4486" s="2" t="inlineStr">
        <is>
          <t>$</t>
        </is>
      </c>
      <c r="J4486" s="2">
        <f>HYPERLINK("https://app.astro.lead-studio.pro/product/b7c88d8a-b4b8-4c72-96c5-f219ed7ac4d6")</f>
      </c>
    </row>
    <row r="4487" spans="1:10" customHeight="0">
      <c r="A4487" s="2" t="inlineStr">
        <is>
          <t>Принтеры</t>
        </is>
      </c>
      <c r="B4487" s="2" t="inlineStr">
        <is>
          <t>RICOH</t>
        </is>
      </c>
      <c r="C4487" s="2" t="inlineStr">
        <is>
          <t>418117</t>
        </is>
      </c>
      <c r="D4487" s="2" t="inlineStr">
        <is>
          <t>МФУ лазерный Ricoh M 2700 (418117) A3 Duplex черный</t>
        </is>
      </c>
      <c r="E4487" s="2" t="inlineStr">
        <is>
          <t>+ </t>
        </is>
      </c>
      <c r="F4487" s="2" t="inlineStr">
        <is>
          <t>+ </t>
        </is>
      </c>
      <c r="H4487" s="2">
        <v>893</v>
      </c>
      <c r="I4487" s="2" t="inlineStr">
        <is>
          <t>$</t>
        </is>
      </c>
      <c r="J4487" s="2">
        <f>HYPERLINK("https://app.astro.lead-studio.pro/product/cafdc5db-9f8d-475d-9640-258eb4558f83")</f>
      </c>
    </row>
    <row r="4488" spans="1:10" customHeight="0">
      <c r="A4488" s="2" t="inlineStr">
        <is>
          <t>Принтеры</t>
        </is>
      </c>
      <c r="B4488" s="2" t="inlineStr">
        <is>
          <t>RICOH</t>
        </is>
      </c>
      <c r="C4488" s="2" t="inlineStr">
        <is>
          <t>418118</t>
        </is>
      </c>
      <c r="D4488" s="2" t="inlineStr">
        <is>
          <t>МФУ лазерный Ricoh M 2701 (418118) A3 Duplex черный</t>
        </is>
      </c>
      <c r="E4488" s="2" t="inlineStr">
        <is>
          <t>+ </t>
        </is>
      </c>
      <c r="F4488" s="2" t="inlineStr">
        <is>
          <t>+ </t>
        </is>
      </c>
      <c r="H4488" s="2">
        <v>1039</v>
      </c>
      <c r="I4488" s="2" t="inlineStr">
        <is>
          <t>$</t>
        </is>
      </c>
      <c r="J4488" s="2">
        <f>HYPERLINK("https://app.astro.lead-studio.pro/product/a261540a-78ad-4e7b-bf39-8be0100a8c62")</f>
      </c>
    </row>
    <row r="4489" spans="1:10" customHeight="0">
      <c r="A4489" s="2" t="inlineStr">
        <is>
          <t>Принтеры</t>
        </is>
      </c>
      <c r="B4489" s="2" t="inlineStr">
        <is>
          <t>RICOH</t>
        </is>
      </c>
      <c r="C4489" s="2" t="inlineStr">
        <is>
          <t>408534</t>
        </is>
      </c>
      <c r="D4489" s="2" t="inlineStr">
        <is>
          <t>МФУ лазерный Ricoh M 320F (408534) A4 Duplex белый</t>
        </is>
      </c>
      <c r="E4489" s="2" t="inlineStr">
        <is>
          <t>+ </t>
        </is>
      </c>
      <c r="F4489" s="2" t="inlineStr">
        <is>
          <t>+ </t>
        </is>
      </c>
      <c r="H4489" s="2">
        <v>609</v>
      </c>
      <c r="I4489" s="2" t="inlineStr">
        <is>
          <t>$</t>
        </is>
      </c>
      <c r="J4489" s="2">
        <f>HYPERLINK("https://app.astro.lead-studio.pro/product/ed39496f-53bf-469b-986c-a560bf51aee0")</f>
      </c>
    </row>
    <row r="4490" spans="1:10" customHeight="0">
      <c r="A4490" s="2" t="inlineStr">
        <is>
          <t>Принтеры</t>
        </is>
      </c>
      <c r="B4490" s="2" t="inlineStr">
        <is>
          <t>RICOH</t>
        </is>
      </c>
      <c r="C4490" s="2" t="inlineStr">
        <is>
          <t>418968</t>
        </is>
      </c>
      <c r="D4490" s="2" t="inlineStr">
        <is>
          <t>МФУ лазерный Ricoh M C2000 (418968) A3 Duplex белый</t>
        </is>
      </c>
      <c r="E4490" s="2" t="inlineStr">
        <is>
          <t>+ </t>
        </is>
      </c>
      <c r="F4490" s="2" t="inlineStr">
        <is>
          <t>+ </t>
        </is>
      </c>
      <c r="H4490" s="2">
        <v>1892</v>
      </c>
      <c r="I4490" s="2" t="inlineStr">
        <is>
          <t>$</t>
        </is>
      </c>
      <c r="J4490" s="2">
        <f>HYPERLINK("https://app.astro.lead-studio.pro/product/ef5adb67-4689-444a-b58e-938be1565d1d")</f>
      </c>
    </row>
    <row r="4491" spans="1:10" customHeight="0">
      <c r="A4491" s="2" t="inlineStr">
        <is>
          <t>Принтеры</t>
        </is>
      </c>
      <c r="B4491" s="2" t="inlineStr">
        <is>
          <t>RICOH</t>
        </is>
      </c>
      <c r="C4491" s="2" t="inlineStr">
        <is>
          <t>408430</t>
        </is>
      </c>
      <c r="D4491" s="2" t="inlineStr">
        <is>
          <t>МФУ лазерный Ricoh M C240FW (408430) A4 WiFi белый</t>
        </is>
      </c>
      <c r="E4491" s="2" t="inlineStr">
        <is>
          <t>+ </t>
        </is>
      </c>
      <c r="F4491" s="2" t="inlineStr">
        <is>
          <t>+ </t>
        </is>
      </c>
      <c r="H4491" s="2">
        <v>398</v>
      </c>
      <c r="I4491" s="2" t="inlineStr">
        <is>
          <t>$</t>
        </is>
      </c>
      <c r="J4491" s="2">
        <f>HYPERLINK("https://app.astro.lead-studio.pro/product/da996573-c77f-431b-983c-1a4efa539911")</f>
      </c>
    </row>
    <row r="4492" spans="1:10" customHeight="0">
      <c r="A4492" s="2" t="inlineStr">
        <is>
          <t>Принтеры</t>
        </is>
      </c>
      <c r="B4492" s="2" t="inlineStr">
        <is>
          <t>RICOH</t>
        </is>
      </c>
      <c r="C4492" s="2" t="inlineStr">
        <is>
          <t>912356/417378</t>
        </is>
      </c>
      <c r="D4492" s="2" t="inlineStr">
        <is>
          <t>МФУ лазерный Ricoh MP 2014AD (912356/417378) A3 Duplex серый</t>
        </is>
      </c>
      <c r="E4492" s="2" t="inlineStr">
        <is>
          <t>+++ </t>
        </is>
      </c>
      <c r="F4492" s="2" t="inlineStr">
        <is>
          <t>+++ </t>
        </is>
      </c>
      <c r="H4492" s="2">
        <v>818</v>
      </c>
      <c r="I4492" s="2" t="inlineStr">
        <is>
          <t>$</t>
        </is>
      </c>
      <c r="J4492" s="2">
        <f>HYPERLINK("https://app.astro.lead-studio.pro/product/5117136c-07dd-4243-a928-ef3dc986ee19")</f>
      </c>
    </row>
    <row r="4493" spans="1:10" customHeight="0">
      <c r="A4493" s="2" t="inlineStr">
        <is>
          <t>Принтеры</t>
        </is>
      </c>
      <c r="B4493" s="2" t="inlineStr">
        <is>
          <t>RICOH</t>
        </is>
      </c>
      <c r="C4493" s="2" t="inlineStr">
        <is>
          <t>408293</t>
        </is>
      </c>
      <c r="D4493" s="2" t="inlineStr">
        <is>
          <t>МФУ лазерный Ricoh SP 230SFNw (408293) A4 Duplex WiFi серый</t>
        </is>
      </c>
      <c r="E4493" s="2" t="inlineStr">
        <is>
          <t>+++ </t>
        </is>
      </c>
      <c r="F4493" s="2" t="inlineStr">
        <is>
          <t>+++ </t>
        </is>
      </c>
      <c r="H4493" s="2">
        <v>367</v>
      </c>
      <c r="I4493" s="2" t="inlineStr">
        <is>
          <t>$</t>
        </is>
      </c>
      <c r="J4493" s="2">
        <f>HYPERLINK("https://app.astro.lead-studio.pro/product/5fe1025a-940b-4edd-ae50-44ed97f927bd")</f>
      </c>
    </row>
    <row r="4494" spans="1:10" customHeight="0">
      <c r="A4494" s="2" t="inlineStr">
        <is>
          <t>Принтеры</t>
        </is>
      </c>
      <c r="B4494" s="2" t="inlineStr">
        <is>
          <t>XEROX</t>
        </is>
      </c>
      <c r="C4494" s="2" t="inlineStr">
        <is>
          <t>B8101V_F</t>
        </is>
      </c>
      <c r="D4494" s="2" t="inlineStr">
        <is>
          <t>МФУ лазерный Xerox AltaLink B8145/B8155 (Базовый блок) (B8101V_F) A3 Duplex белый</t>
        </is>
      </c>
      <c r="E4494" s="2" t="inlineStr">
        <is>
          <t>+ </t>
        </is>
      </c>
      <c r="F4494" s="2" t="inlineStr">
        <is>
          <t>+ </t>
        </is>
      </c>
      <c r="H4494" s="2">
        <v>6118</v>
      </c>
      <c r="I4494" s="2" t="inlineStr">
        <is>
          <t>$</t>
        </is>
      </c>
      <c r="J4494" s="2">
        <f>HYPERLINK("https://app.astro.lead-studio.pro/product/1d876a15-a1a6-4992-b905-9344b61ddc29")</f>
      </c>
    </row>
    <row r="4495" spans="1:10" customHeight="0">
      <c r="A4495" s="2" t="inlineStr">
        <is>
          <t>Принтеры</t>
        </is>
      </c>
      <c r="B4495" s="2" t="inlineStr">
        <is>
          <t>XEROX</t>
        </is>
      </c>
      <c r="C4495" s="2" t="inlineStr">
        <is>
          <t>B1022V_B</t>
        </is>
      </c>
      <c r="D4495" s="2" t="inlineStr">
        <is>
          <t>МФУ лазерный Xerox B1022 (B1022V_B) A3 Duplex Net белый</t>
        </is>
      </c>
      <c r="E4495" s="2" t="inlineStr">
        <is>
          <t>+ </t>
        </is>
      </c>
      <c r="F4495" s="2" t="inlineStr">
        <is>
          <t>+ </t>
        </is>
      </c>
      <c r="H4495" s="2">
        <v>698</v>
      </c>
      <c r="I4495" s="2" t="inlineStr">
        <is>
          <t>$</t>
        </is>
      </c>
      <c r="J4495" s="2">
        <f>HYPERLINK("https://app.astro.lead-studio.pro/product/51291d33-4de0-4c08-a8d7-0d5e14fe2358")</f>
      </c>
    </row>
    <row r="4496" spans="1:10" customHeight="0">
      <c r="A4496" s="2" t="inlineStr">
        <is>
          <t>Принтеры</t>
        </is>
      </c>
      <c r="B4496" s="2" t="inlineStr">
        <is>
          <t>XEROX</t>
        </is>
      </c>
      <c r="C4496" s="2" t="inlineStr">
        <is>
          <t>B1022DN</t>
        </is>
      </c>
      <c r="D4496" s="2" t="inlineStr">
        <is>
          <t>МФУ лазерный Xerox B1022DN A3 Duplex Net белый</t>
        </is>
      </c>
      <c r="E4496" s="2" t="inlineStr">
        <is>
          <t>+ </t>
        </is>
      </c>
      <c r="F4496" s="2" t="inlineStr">
        <is>
          <t>+ </t>
        </is>
      </c>
      <c r="H4496" s="2">
        <v>839</v>
      </c>
      <c r="I4496" s="2" t="inlineStr">
        <is>
          <t>$</t>
        </is>
      </c>
      <c r="J4496" s="2">
        <f>HYPERLINK("https://app.astro.lead-studio.pro/product/03005093-f4fa-4c33-891b-633b15a599eb")</f>
      </c>
    </row>
    <row r="4497" spans="1:10" customHeight="0">
      <c r="A4497" s="2" t="inlineStr">
        <is>
          <t>Принтеры</t>
        </is>
      </c>
      <c r="B4497" s="2" t="inlineStr">
        <is>
          <t>XEROX</t>
        </is>
      </c>
      <c r="C4497" s="2" t="inlineStr">
        <is>
          <t>B1025V_B</t>
        </is>
      </c>
      <c r="D4497" s="2" t="inlineStr">
        <is>
          <t>МФУ лазерный Xerox B1025DN (B1025V_B) A3 Duplex Net белый</t>
        </is>
      </c>
      <c r="E4497" s="2" t="inlineStr">
        <is>
          <t>+ </t>
        </is>
      </c>
      <c r="F4497" s="2" t="inlineStr">
        <is>
          <t>+ </t>
        </is>
      </c>
      <c r="H4497" s="2">
        <v>951</v>
      </c>
      <c r="I4497" s="2" t="inlineStr">
        <is>
          <t>$</t>
        </is>
      </c>
      <c r="J4497" s="2">
        <f>HYPERLINK("https://app.astro.lead-studio.pro/product/e2b5d625-8277-4f57-9612-6e0f24ac93bb")</f>
      </c>
    </row>
    <row r="4498" spans="1:10" customHeight="0">
      <c r="A4498" s="2" t="inlineStr">
        <is>
          <t>Принтеры</t>
        </is>
      </c>
      <c r="B4498" s="2" t="inlineStr">
        <is>
          <t>XEROX</t>
        </is>
      </c>
      <c r="C4498" s="2" t="inlineStr">
        <is>
          <t>C235V_DNI</t>
        </is>
      </c>
      <c r="D4498" s="2" t="inlineStr">
        <is>
          <t>МФУ лазерный Xerox C235 (C235V_DNI) A4 Duplex Net WiFi белый</t>
        </is>
      </c>
      <c r="E4498" s="2" t="inlineStr">
        <is>
          <t>+ </t>
        </is>
      </c>
      <c r="F4498" s="2" t="inlineStr">
        <is>
          <t>+ </t>
        </is>
      </c>
      <c r="H4498" s="2">
        <v>370</v>
      </c>
      <c r="I4498" s="2" t="inlineStr">
        <is>
          <t>$</t>
        </is>
      </c>
      <c r="J4498" s="2">
        <f>HYPERLINK("https://app.astro.lead-studio.pro/product/be37c69e-6d50-4d34-bc39-8627d6380aa7")</f>
      </c>
    </row>
    <row r="4499" spans="1:10" customHeight="0">
      <c r="A4499" s="2" t="inlineStr">
        <is>
          <t>Принтеры</t>
        </is>
      </c>
      <c r="B4499" s="2" t="inlineStr">
        <is>
          <t>XEROX</t>
        </is>
      </c>
      <c r="C4499" s="2" t="inlineStr">
        <is>
          <t>C315DNI</t>
        </is>
      </c>
      <c r="D4499" s="2" t="inlineStr">
        <is>
          <t>МФУ лазерный Xerox C315DNI A4 Duplex Net WiFi белый</t>
        </is>
      </c>
      <c r="E4499" s="2" t="inlineStr">
        <is>
          <t>+ </t>
        </is>
      </c>
      <c r="F4499" s="2" t="inlineStr">
        <is>
          <t>+ </t>
        </is>
      </c>
      <c r="H4499" s="2">
        <v>948</v>
      </c>
      <c r="I4499" s="2" t="inlineStr">
        <is>
          <t>$</t>
        </is>
      </c>
      <c r="J4499" s="2">
        <f>HYPERLINK("https://app.astro.lead-studio.pro/product/80e8ea53-4f95-4409-bde2-57cd6edb1c04")</f>
      </c>
    </row>
    <row r="4500" spans="1:10" customHeight="0">
      <c r="A4500" s="2" t="inlineStr">
        <is>
          <t>Принтеры</t>
        </is>
      </c>
      <c r="B4500" s="2" t="inlineStr">
        <is>
          <t>XEROX</t>
        </is>
      </c>
      <c r="C4500" s="2" t="inlineStr">
        <is>
          <t>C315V_DNI</t>
        </is>
      </c>
      <c r="D4500" s="2" t="inlineStr">
        <is>
          <t>МФУ лазерный Xerox C315V_DNI A4 Duplex Net WiFi белый</t>
        </is>
      </c>
      <c r="E4500" s="2" t="inlineStr">
        <is>
          <t>++ </t>
        </is>
      </c>
      <c r="F4500" s="2" t="inlineStr">
        <is>
          <t>++ </t>
        </is>
      </c>
      <c r="H4500" s="2">
        <v>482</v>
      </c>
      <c r="I4500" s="2" t="inlineStr">
        <is>
          <t>$</t>
        </is>
      </c>
      <c r="J4500" s="2">
        <f>HYPERLINK("https://app.astro.lead-studio.pro/product/c9be0040-68c9-435a-b1fc-8e60fc8eb571")</f>
      </c>
    </row>
    <row r="4501" spans="1:10" customHeight="0">
      <c r="A4501" s="2" t="inlineStr">
        <is>
          <t>Принтеры</t>
        </is>
      </c>
      <c r="B4501" s="2" t="inlineStr">
        <is>
          <t>XEROX</t>
        </is>
      </c>
      <c r="C4501" s="2" t="inlineStr">
        <is>
          <t>B415V_DN</t>
        </is>
      </c>
      <c r="D4501" s="2" t="inlineStr">
        <is>
          <t>МФУ лазерный Xerox Versalink B415DN (B415V_DN) A4 Duplex Net серый</t>
        </is>
      </c>
      <c r="E4501" s="2" t="inlineStr">
        <is>
          <t>+ </t>
        </is>
      </c>
      <c r="F4501" s="2" t="inlineStr">
        <is>
          <t>+ </t>
        </is>
      </c>
      <c r="H4501" s="2">
        <v>995</v>
      </c>
      <c r="I4501" s="2" t="inlineStr">
        <is>
          <t>$</t>
        </is>
      </c>
      <c r="J4501" s="2">
        <f>HYPERLINK("https://app.astro.lead-studio.pro/product/6691f382-b2a0-4df1-8430-a73fc2e2847e")</f>
      </c>
    </row>
    <row r="4502" spans="1:10" customHeight="0">
      <c r="A4502" s="2" t="inlineStr">
        <is>
          <t>Принтеры</t>
        </is>
      </c>
      <c r="B4502" s="2" t="inlineStr">
        <is>
          <t>XEROX</t>
        </is>
      </c>
      <c r="C4502" s="2" t="inlineStr">
        <is>
          <t>B7101V_D</t>
        </is>
      </c>
      <c r="D4502" s="2" t="inlineStr">
        <is>
          <t>МФУ лазерный Xerox Versalink B7101V_D (Базовый блок) A3 Duplex белый</t>
        </is>
      </c>
      <c r="E4502" s="2" t="inlineStr">
        <is>
          <t>+++ </t>
        </is>
      </c>
      <c r="F4502" s="2" t="inlineStr">
        <is>
          <t>+++ </t>
        </is>
      </c>
      <c r="H4502" s="2">
        <v>1765</v>
      </c>
      <c r="I4502" s="2" t="inlineStr">
        <is>
          <t>$</t>
        </is>
      </c>
      <c r="J4502" s="2">
        <f>HYPERLINK("https://app.astro.lead-studio.pro/product/7e19a77b-4fba-4677-bdcb-81a0fac404db")</f>
      </c>
    </row>
    <row r="4503" spans="1:10" customHeight="0">
      <c r="A4503" s="2" t="inlineStr">
        <is>
          <t>Принтеры</t>
        </is>
      </c>
      <c r="B4503" s="2" t="inlineStr">
        <is>
          <t>XEROX</t>
        </is>
      </c>
      <c r="C4503" s="2" t="inlineStr">
        <is>
          <t>C415V_DN</t>
        </is>
      </c>
      <c r="D4503" s="2" t="inlineStr">
        <is>
          <t>МФУ лазерный Xerox Versalink C415 (C415V_DN) A4 Duplex белый</t>
        </is>
      </c>
      <c r="E4503" s="2" t="inlineStr">
        <is>
          <t>+ </t>
        </is>
      </c>
      <c r="F4503" s="2" t="inlineStr">
        <is>
          <t>+ </t>
        </is>
      </c>
      <c r="H4503" s="2">
        <v>983</v>
      </c>
      <c r="I4503" s="2" t="inlineStr">
        <is>
          <t>$</t>
        </is>
      </c>
      <c r="J4503" s="2">
        <f>HYPERLINK("https://app.astro.lead-studio.pro/product/8a3d5471-6ca6-4312-a280-821915ecfc6a")</f>
      </c>
    </row>
    <row r="4504" spans="1:10" customHeight="0">
      <c r="A4504" s="2" t="inlineStr">
        <is>
          <t>Принтеры</t>
        </is>
      </c>
      <c r="B4504" s="2" t="inlineStr">
        <is>
          <t>XEROX</t>
        </is>
      </c>
      <c r="C4504" s="2" t="inlineStr">
        <is>
          <t>C7101V_D</t>
        </is>
      </c>
      <c r="D4504" s="2" t="inlineStr">
        <is>
          <t>МФУ лазерный Xerox Versalink C7120/C7125/C7130 (Базовый блок) (C7101V_D) A3 Duplex белый</t>
        </is>
      </c>
      <c r="E4504" s="2" t="inlineStr">
        <is>
          <t>+ </t>
        </is>
      </c>
      <c r="F4504" s="2" t="inlineStr">
        <is>
          <t>+ </t>
        </is>
      </c>
      <c r="H4504" s="2">
        <v>2136</v>
      </c>
      <c r="I4504" s="2" t="inlineStr">
        <is>
          <t>$</t>
        </is>
      </c>
      <c r="J4504" s="2">
        <f>HYPERLINK("https://app.astro.lead-studio.pro/product/e1b9e6fd-dca4-4e13-8804-350411c08ac6")</f>
      </c>
    </row>
    <row r="4505" spans="1:10" customHeight="0">
      <c r="A4505" s="2" t="inlineStr">
        <is>
          <t>Принтеры</t>
        </is>
      </c>
      <c r="B4505" s="2" t="inlineStr">
        <is>
          <t>XEROX</t>
        </is>
      </c>
      <c r="C4505" s="2" t="inlineStr">
        <is>
          <t>B305V_DNI</t>
        </is>
      </c>
      <c r="D4505" s="2" t="inlineStr">
        <is>
          <t>МФУ лазерный Xerox WorkCentre B305V_DNI A4 Duplex Net WiFi белый</t>
        </is>
      </c>
      <c r="E4505" s="2" t="inlineStr">
        <is>
          <t>+ </t>
        </is>
      </c>
      <c r="F4505" s="2" t="inlineStr">
        <is>
          <t>+ </t>
        </is>
      </c>
      <c r="H4505" s="2">
        <v>340</v>
      </c>
      <c r="I4505" s="2" t="inlineStr">
        <is>
          <t>$</t>
        </is>
      </c>
      <c r="J4505" s="2">
        <f>HYPERLINK("https://app.astro.lead-studio.pro/product/fa357596-53c9-4d80-876f-4073d24e2257")</f>
      </c>
    </row>
    <row r="4506" spans="1:10" customHeight="0">
      <c r="A4506" s="2" t="inlineStr">
        <is>
          <t>Принтеры</t>
        </is>
      </c>
      <c r="B4506" s="2" t="inlineStr">
        <is>
          <t>XEROX</t>
        </is>
      </c>
      <c r="C4506" s="2" t="inlineStr">
        <is>
          <t>B315V_DNI</t>
        </is>
      </c>
      <c r="D4506" s="2" t="inlineStr">
        <is>
          <t>МФУ лазерный Xerox WorkCentre B315V_DNI A4 Duplex Net WiFi белый</t>
        </is>
      </c>
      <c r="E4506" s="2" t="inlineStr">
        <is>
          <t>+++ </t>
        </is>
      </c>
      <c r="F4506" s="2" t="inlineStr">
        <is>
          <t>+++ </t>
        </is>
      </c>
      <c r="H4506" s="2">
        <v>444</v>
      </c>
      <c r="I4506" s="2" t="inlineStr">
        <is>
          <t>$</t>
        </is>
      </c>
      <c r="J4506" s="2">
        <f>HYPERLINK("https://app.astro.lead-studio.pro/product/a6c7ec49-d8bc-488c-afef-199b90a91a0a")</f>
      </c>
    </row>
    <row r="4507" spans="1:10" customHeight="0">
      <c r="A4507" s="2" t="inlineStr">
        <is>
          <t>Принтеры</t>
        </is>
      </c>
      <c r="B4507" s="2" t="inlineStr">
        <is>
          <t>CANON</t>
        </is>
      </c>
      <c r="C4507" s="2" t="inlineStr">
        <is>
          <t>0959C007</t>
        </is>
      </c>
      <c r="D4507" s="2" t="inlineStr">
        <is>
          <t>МФУ струйный Canon Maxify MB2140 (0959C007) A4 Duplex WiFi черный</t>
        </is>
      </c>
      <c r="E4507" s="2" t="inlineStr">
        <is>
          <t>+ </t>
        </is>
      </c>
      <c r="F4507" s="2" t="inlineStr">
        <is>
          <t>+ </t>
        </is>
      </c>
      <c r="H4507" s="2">
        <v>322</v>
      </c>
      <c r="I4507" s="2" t="inlineStr">
        <is>
          <t>$</t>
        </is>
      </c>
      <c r="J4507" s="2">
        <f>HYPERLINK("https://app.astro.lead-studio.pro/product/0b258e0e-f124-44b2-afa4-aaea48a3c83f")</f>
      </c>
    </row>
    <row r="4508" spans="1:10" customHeight="0">
      <c r="A4508" s="2" t="inlineStr">
        <is>
          <t>Принтеры</t>
        </is>
      </c>
      <c r="B4508" s="2" t="inlineStr">
        <is>
          <t>EPSON</t>
        </is>
      </c>
      <c r="C4508" s="2" t="inlineStr">
        <is>
          <t>C11CH72404/505/506/403</t>
        </is>
      </c>
      <c r="D4508" s="2" t="inlineStr">
        <is>
          <t>МФУ струйный Epson L15150 (C11CH72404/505/506/403) A3+ Duplex Net WiFi черный</t>
        </is>
      </c>
      <c r="E4508" s="2" t="inlineStr">
        <is>
          <t>+ </t>
        </is>
      </c>
      <c r="F4508" s="2" t="inlineStr">
        <is>
          <t>+ </t>
        </is>
      </c>
      <c r="H4508" s="2">
        <v>1344</v>
      </c>
      <c r="I4508" s="2" t="inlineStr">
        <is>
          <t>$</t>
        </is>
      </c>
      <c r="J4508" s="2">
        <f>HYPERLINK("https://app.astro.lead-studio.pro/product/d5e9d5f2-64e2-4ad0-8c6a-731e14e1d7d0")</f>
      </c>
    </row>
    <row r="4509" spans="1:10" customHeight="0">
      <c r="A4509" s="2" t="inlineStr">
        <is>
          <t>Принтеры</t>
        </is>
      </c>
      <c r="B4509" s="2" t="inlineStr">
        <is>
          <t>EPSON</t>
        </is>
      </c>
      <c r="C4509" s="2" t="inlineStr">
        <is>
          <t>C11CJ63515/415/411</t>
        </is>
      </c>
      <c r="D4509" s="2" t="inlineStr">
        <is>
          <t>МФУ струйный Epson L4260 (C11CJ63515/415/411) A4 Duplex WiFi черный</t>
        </is>
      </c>
      <c r="E4509" s="2" t="inlineStr">
        <is>
          <t>++ </t>
        </is>
      </c>
      <c r="F4509" s="2" t="inlineStr">
        <is>
          <t>++ </t>
        </is>
      </c>
      <c r="H4509" s="2">
        <v>397</v>
      </c>
      <c r="I4509" s="2" t="inlineStr">
        <is>
          <t>$</t>
        </is>
      </c>
      <c r="J4509" s="2">
        <f>HYPERLINK("https://app.astro.lead-studio.pro/product/e4f2c7b0-e10a-4b6b-8202-72d7f18a87c9")</f>
      </c>
    </row>
    <row r="4510" spans="1:10" customHeight="0">
      <c r="A4510" s="2" t="inlineStr">
        <is>
          <t>Принтеры</t>
        </is>
      </c>
      <c r="B4510" s="2" t="inlineStr">
        <is>
          <t>EPSON</t>
        </is>
      </c>
      <c r="C4510" s="2" t="inlineStr">
        <is>
          <t>C11CJ65512/C11CJ65409</t>
        </is>
      </c>
      <c r="D4510" s="2" t="inlineStr">
        <is>
          <t>МФУ струйный Epson L5290 (C11CJ65512/C11CJ65409) A4 WiFi черный</t>
        </is>
      </c>
      <c r="E4510" s="2" t="inlineStr">
        <is>
          <t>+ </t>
        </is>
      </c>
      <c r="F4510" s="2" t="inlineStr">
        <is>
          <t>+ </t>
        </is>
      </c>
      <c r="H4510" s="2">
        <v>387</v>
      </c>
      <c r="I4510" s="2" t="inlineStr">
        <is>
          <t>$</t>
        </is>
      </c>
      <c r="J4510" s="2">
        <f>HYPERLINK("https://app.astro.lead-studio.pro/product/85f6ef56-b2f6-4b31-969c-5b0e9f450590")</f>
      </c>
    </row>
    <row r="4511" spans="1:10" customHeight="0">
      <c r="A4511" s="2" t="inlineStr">
        <is>
          <t>Принтеры</t>
        </is>
      </c>
      <c r="B4511" s="2" t="inlineStr">
        <is>
          <t>EPSON</t>
        </is>
      </c>
      <c r="C4511" s="2" t="inlineStr">
        <is>
          <t>C11CJ61507/61407/64407</t>
        </is>
      </c>
      <c r="D4511" s="2" t="inlineStr">
        <is>
          <t>МФУ струйный Epson L6270 (C11CJ61507/61407/64407) A4 Duplex Net WiFi черный</t>
        </is>
      </c>
      <c r="E4511" s="2" t="inlineStr">
        <is>
          <t>+ </t>
        </is>
      </c>
      <c r="F4511" s="2" t="inlineStr">
        <is>
          <t>+ </t>
        </is>
      </c>
      <c r="H4511" s="2">
        <v>516</v>
      </c>
      <c r="I4511" s="2" t="inlineStr">
        <is>
          <t>$</t>
        </is>
      </c>
      <c r="J4511" s="2">
        <f>HYPERLINK("https://app.astro.lead-studio.pro/product/5061370d-770b-428b-a0ba-19c9f5e39ed9")</f>
      </c>
    </row>
    <row r="4512" spans="1:10" customHeight="0">
      <c r="A4512" s="2" t="inlineStr">
        <is>
          <t>Принтеры</t>
        </is>
      </c>
      <c r="B4512" s="2" t="inlineStr">
        <is>
          <t>EPSON</t>
        </is>
      </c>
      <c r="C4512" s="2" t="inlineStr">
        <is>
          <t>C11CJ60505/408/507</t>
        </is>
      </c>
      <c r="D4512" s="2" t="inlineStr">
        <is>
          <t>МФУ струйный Epson L6290 (C11CJ60505/408/507) A4 Duplex Net WiFi черный</t>
        </is>
      </c>
      <c r="E4512" s="2" t="inlineStr">
        <is>
          <t>+ </t>
        </is>
      </c>
      <c r="F4512" s="2" t="inlineStr">
        <is>
          <t>+ </t>
        </is>
      </c>
      <c r="H4512" s="2">
        <v>523</v>
      </c>
      <c r="I4512" s="2" t="inlineStr">
        <is>
          <t>$</t>
        </is>
      </c>
      <c r="J4512" s="2">
        <f>HYPERLINK("https://app.astro.lead-studio.pro/product/fea93dd9-23d4-4423-81b6-3874ccd79e17")</f>
      </c>
    </row>
    <row r="4513" spans="1:10" customHeight="0">
      <c r="A4513" s="2" t="inlineStr">
        <is>
          <t>Принтеры</t>
        </is>
      </c>
      <c r="B4513" s="2" t="inlineStr">
        <is>
          <t>EPSON</t>
        </is>
      </c>
      <c r="C4513" s="2" t="inlineStr">
        <is>
          <t>C11CJ41404/ C11CJ41402</t>
        </is>
      </c>
      <c r="D4513" s="2" t="inlineStr">
        <is>
          <t>МФУ струйный Epson M15140 (C11CJ41404/ C11CJ41402) A3+ Duplex Net WiFi черный</t>
        </is>
      </c>
      <c r="E4513" s="2" t="inlineStr">
        <is>
          <t>+ </t>
        </is>
      </c>
      <c r="F4513" s="2" t="inlineStr">
        <is>
          <t>+ </t>
        </is>
      </c>
      <c r="H4513" s="2">
        <v>1017</v>
      </c>
      <c r="I4513" s="2" t="inlineStr">
        <is>
          <t>$</t>
        </is>
      </c>
      <c r="J4513" s="2">
        <f>HYPERLINK("https://app.astro.lead-studio.pro/product/1b81ed57-edec-4dec-82d5-a5b2c3bd10e4")</f>
      </c>
    </row>
    <row r="4514" spans="1:10" customHeight="0">
      <c r="A4514" s="2" t="inlineStr">
        <is>
          <t>Принтеры</t>
        </is>
      </c>
      <c r="B4514" s="2" t="inlineStr">
        <is>
          <t>EPSON</t>
        </is>
      </c>
      <c r="C4514" s="2" t="inlineStr">
        <is>
          <t>C11CJ41408/407/406</t>
        </is>
      </c>
      <c r="D4514" s="2" t="inlineStr">
        <is>
          <t>МФУ струйный Epson M15180 (C11CJ41408/407/406) A3+ Duplex WiFi черный</t>
        </is>
      </c>
      <c r="E4514" s="2" t="inlineStr">
        <is>
          <t>+ </t>
        </is>
      </c>
      <c r="F4514" s="2" t="inlineStr">
        <is>
          <t>+ </t>
        </is>
      </c>
      <c r="H4514" s="2">
        <v>1090</v>
      </c>
      <c r="I4514" s="2" t="inlineStr">
        <is>
          <t>$</t>
        </is>
      </c>
      <c r="J4514" s="2">
        <f>HYPERLINK("https://app.astro.lead-studio.pro/product/5e73d644-261c-49f5-9902-674ac5f832a7")</f>
      </c>
    </row>
    <row r="4515" spans="1:10" customHeight="0">
      <c r="A4515" s="2" t="inlineStr">
        <is>
          <t>Принтеры</t>
        </is>
      </c>
      <c r="B4515" s="2" t="inlineStr">
        <is>
          <t>HP</t>
        </is>
      </c>
      <c r="C4515" s="2" t="inlineStr">
        <is>
          <t>1MR70B</t>
        </is>
      </c>
      <c r="D4515" s="2" t="inlineStr">
        <is>
          <t>МФУ струйный HP Officejet Pro 9023 AiO (1MR70B) A4 Duplex WiFi белый</t>
        </is>
      </c>
      <c r="E4515" s="2" t="inlineStr">
        <is>
          <t>+ </t>
        </is>
      </c>
      <c r="F4515" s="2" t="inlineStr">
        <is>
          <t>+ </t>
        </is>
      </c>
      <c r="H4515" s="2">
        <v>382</v>
      </c>
      <c r="I4515" s="2" t="inlineStr">
        <is>
          <t>$</t>
        </is>
      </c>
      <c r="J4515" s="2">
        <f>HYPERLINK("https://app.astro.lead-studio.pro/product/53d09441-8911-45af-804c-87707e1e47b3")</f>
      </c>
    </row>
    <row r="4516" spans="1:10" customHeight="0">
      <c r="A4516" s="2" t="inlineStr">
        <is>
          <t>Принтеры</t>
        </is>
      </c>
      <c r="B4516" s="2" t="inlineStr">
        <is>
          <t>HP</t>
        </is>
      </c>
      <c r="C4516" s="2" t="inlineStr">
        <is>
          <t>6UU46A</t>
        </is>
      </c>
      <c r="D4516" s="2" t="inlineStr">
        <is>
          <t>МФУ струйный HP Smart Tank 720 AiO (6UU46A) A4 Duplex WiFi серый</t>
        </is>
      </c>
      <c r="E4516" s="2" t="inlineStr">
        <is>
          <t>+ </t>
        </is>
      </c>
      <c r="F4516" s="2" t="inlineStr">
        <is>
          <t>+ </t>
        </is>
      </c>
      <c r="H4516" s="2">
        <v>491</v>
      </c>
      <c r="I4516" s="2" t="inlineStr">
        <is>
          <t>$</t>
        </is>
      </c>
      <c r="J4516" s="2">
        <f>HYPERLINK("https://app.astro.lead-studio.pro/product/73809a70-1351-469c-9672-a7461685bf03")</f>
      </c>
    </row>
    <row r="4517" spans="1:10" customHeight="0">
      <c r="A4517" s="2" t="inlineStr">
        <is>
          <t>Принтеры</t>
        </is>
      </c>
      <c r="B4517" s="2" t="inlineStr">
        <is>
          <t>EPSON</t>
        </is>
      </c>
      <c r="C4517" s="2" t="inlineStr">
        <is>
          <t>C11CK38403/38505/38402/30853</t>
        </is>
      </c>
      <c r="D4517" s="2" t="inlineStr">
        <is>
          <t>Принтер струйный Epson L18050 (C11CK38403/38505/38402/30853) A3 WiFi черный</t>
        </is>
      </c>
      <c r="E4517" s="2" t="inlineStr">
        <is>
          <t>+ </t>
        </is>
      </c>
      <c r="F4517" s="2" t="inlineStr">
        <is>
          <t>+ </t>
        </is>
      </c>
      <c r="H4517" s="2">
        <v>980</v>
      </c>
      <c r="I4517" s="2" t="inlineStr">
        <is>
          <t>$</t>
        </is>
      </c>
      <c r="J4517" s="2">
        <f>HYPERLINK("https://app.astro.lead-studio.pro/product/416c4364-c701-400b-9e77-f20e10234080")</f>
      </c>
    </row>
    <row r="4518" spans="1:10" customHeight="0">
      <c r="A4518" s="2" t="inlineStr">
        <is>
          <t>Принтеры</t>
        </is>
      </c>
      <c r="B4518" s="2" t="inlineStr">
        <is>
          <t>EPSON</t>
        </is>
      </c>
      <c r="C4518" s="2" t="inlineStr">
        <is>
          <t>C11CK37405/C11CK37506/37507</t>
        </is>
      </c>
      <c r="D4518" s="2" t="inlineStr">
        <is>
          <t>Принтер струйный Epson L8050 (C11CK37405/C11CK37506/37507) A4 WiFi черный</t>
        </is>
      </c>
      <c r="E4518" s="2" t="inlineStr">
        <is>
          <t>+ </t>
        </is>
      </c>
      <c r="F4518" s="2" t="inlineStr">
        <is>
          <t>+ </t>
        </is>
      </c>
      <c r="H4518" s="2">
        <v>526</v>
      </c>
      <c r="I4518" s="2" t="inlineStr">
        <is>
          <t>$</t>
        </is>
      </c>
      <c r="J4518" s="2">
        <f>HYPERLINK("https://app.astro.lead-studio.pro/product/7790f176-cfab-4e42-9f0d-36ba2b272a96")</f>
      </c>
    </row>
    <row r="4519" spans="1:10" customHeight="0">
      <c r="A4519" s="2" t="inlineStr">
        <is>
          <t>Принтеры</t>
        </is>
      </c>
      <c r="B4519" s="2" t="inlineStr">
        <is>
          <t>G&amp;G</t>
        </is>
      </c>
      <c r="C4519" s="2" t="inlineStr">
        <is>
          <t>GG-HH1001B-EU</t>
        </is>
      </c>
      <c r="D4519" s="2" t="inlineStr">
        <is>
          <t>Принтер струйный G&amp;G GG-HH1001B-EU черный</t>
        </is>
      </c>
      <c r="E4519" s="2" t="inlineStr">
        <is>
          <t>+ </t>
        </is>
      </c>
      <c r="F4519" s="2" t="inlineStr">
        <is>
          <t>+ </t>
        </is>
      </c>
      <c r="H4519" s="2">
        <v>469</v>
      </c>
      <c r="I4519" s="2" t="inlineStr">
        <is>
          <t>$</t>
        </is>
      </c>
      <c r="J4519" s="2">
        <f>HYPERLINK("https://app.astro.lead-studio.pro/product/50005294-e144-403a-a4d7-7de5acbfa395")</f>
      </c>
    </row>
    <row r="4520" spans="1:10" customHeight="0">
      <c r="A4520" s="2" t="inlineStr">
        <is>
          <t>Принтеры</t>
        </is>
      </c>
      <c r="B4520" s="2" t="inlineStr">
        <is>
          <t>HP</t>
        </is>
      </c>
      <c r="C4520" s="2" t="inlineStr">
        <is>
          <t>N4K99C</t>
        </is>
      </c>
      <c r="D4520" s="2" t="inlineStr">
        <is>
          <t>Принтер струйный HP OfficeJet 202 (N4K99C) A4 WiFi черный</t>
        </is>
      </c>
      <c r="E4520" s="2" t="inlineStr">
        <is>
          <t>+ </t>
        </is>
      </c>
      <c r="F4520" s="2" t="inlineStr">
        <is>
          <t>+ </t>
        </is>
      </c>
      <c r="H4520" s="2">
        <v>586</v>
      </c>
      <c r="I4520" s="2" t="inlineStr">
        <is>
          <t>$</t>
        </is>
      </c>
      <c r="J4520" s="2">
        <f>HYPERLINK("https://app.astro.lead-studio.pro/product/af2ad603-e4ae-45e5-8f6d-82a5ac840901")</f>
      </c>
    </row>
    <row r="4521" spans="1:10" customHeight="0">
      <c r="A4521" s="2" t="inlineStr">
        <is>
          <t>Принтеры</t>
        </is>
      </c>
      <c r="B4521" s="2" t="inlineStr">
        <is>
          <t>TSC</t>
        </is>
      </c>
      <c r="C4521" s="2" t="inlineStr">
        <is>
          <t>A30L-A001-0002</t>
        </is>
      </c>
      <c r="D4521" s="2" t="inlineStr">
        <is>
          <t>Термопринтер TSC Alpha-30L (A30L-A001-0002) 203dpi 127мм/с 2.3"/USB/BT для печ.этик. черный</t>
        </is>
      </c>
      <c r="E4521" s="2" t="inlineStr">
        <is>
          <t>+ </t>
        </is>
      </c>
      <c r="F4521" s="2" t="inlineStr">
        <is>
          <t>+ </t>
        </is>
      </c>
      <c r="H4521" s="2">
        <v>988</v>
      </c>
      <c r="I4521" s="2" t="inlineStr">
        <is>
          <t>$</t>
        </is>
      </c>
      <c r="J4521" s="2">
        <f>HYPERLINK("https://app.astro.lead-studio.pro/product/b2c1d637-6b78-4509-95b0-d8de5d188a23")</f>
      </c>
    </row>
    <row r="4522" spans="1:10" customHeight="0">
      <c r="A4522" s="2" t="inlineStr">
        <is>
          <t>Принтеры</t>
        </is>
      </c>
      <c r="B4522" s="2" t="inlineStr">
        <is>
          <t>TSC</t>
        </is>
      </c>
      <c r="C4522" s="2" t="inlineStr">
        <is>
          <t>A30L-A001-1002</t>
        </is>
      </c>
      <c r="D4522" s="2" t="inlineStr">
        <is>
          <t>Термопринтер TSC Alpha-30L (A30L-A001-1002) 203dpi 127мм/с 2.3"/USB/Wi-Fi/BT для печ.этик. черный</t>
        </is>
      </c>
      <c r="E4522" s="2" t="inlineStr">
        <is>
          <t>+ </t>
        </is>
      </c>
      <c r="F4522" s="2" t="inlineStr">
        <is>
          <t>+ </t>
        </is>
      </c>
      <c r="H4522" s="2">
        <v>1116</v>
      </c>
      <c r="I4522" s="2" t="inlineStr">
        <is>
          <t>$</t>
        </is>
      </c>
      <c r="J4522" s="2">
        <f>HYPERLINK("https://app.astro.lead-studio.pro/product/177d3b5e-be04-4fc3-ba72-e1424cf96754")</f>
      </c>
    </row>
    <row r="4523" spans="1:10" customHeight="0">
      <c r="A4523" s="2" t="inlineStr">
        <is>
          <t>Принтеры</t>
        </is>
      </c>
      <c r="B4523" s="2" t="inlineStr">
        <is>
          <t>TSC</t>
        </is>
      </c>
      <c r="C4523" s="2" t="inlineStr">
        <is>
          <t>A40L-A001-0002</t>
        </is>
      </c>
      <c r="D4523" s="2" t="inlineStr">
        <is>
          <t>Термопринтер TSC Alpha-40L (A40L-A001-0002) 203dpi 127мм/с 2.3"/USB/BT для печ.этик. черный</t>
        </is>
      </c>
      <c r="E4523" s="2" t="inlineStr">
        <is>
          <t>+ </t>
        </is>
      </c>
      <c r="F4523" s="2" t="inlineStr">
        <is>
          <t>+ </t>
        </is>
      </c>
      <c r="H4523" s="2">
        <v>1156</v>
      </c>
      <c r="I4523" s="2" t="inlineStr">
        <is>
          <t>$</t>
        </is>
      </c>
      <c r="J4523" s="2">
        <f>HYPERLINK("https://app.astro.lead-studio.pro/product/ef9fcddf-b20e-4734-9498-f7e66905c761")</f>
      </c>
    </row>
    <row r="4524" spans="1:10" customHeight="0">
      <c r="A4524" s="2" t="inlineStr">
        <is>
          <t>Принтеры</t>
        </is>
      </c>
      <c r="B4524" s="2" t="inlineStr">
        <is>
          <t>TSC</t>
        </is>
      </c>
      <c r="C4524" s="2" t="inlineStr">
        <is>
          <t>A40L-A001-1002</t>
        </is>
      </c>
      <c r="D4524" s="2" t="inlineStr">
        <is>
          <t>Термопринтер TSC Alpha-40L (A40L-A001-1002) 203dpi 127мм/с 2.3"/USB/Wi-Fi/BT для печ.этик. черный</t>
        </is>
      </c>
      <c r="E4524" s="2" t="inlineStr">
        <is>
          <t>+ </t>
        </is>
      </c>
      <c r="F4524" s="2" t="inlineStr">
        <is>
          <t>+ </t>
        </is>
      </c>
      <c r="H4524" s="2">
        <v>1150</v>
      </c>
      <c r="I4524" s="2" t="inlineStr">
        <is>
          <t>$</t>
        </is>
      </c>
      <c r="J4524" s="2">
        <f>HYPERLINK("https://app.astro.lead-studio.pro/product/7b50beed-7ae4-48b8-8e88-9b844ae15692")</f>
      </c>
    </row>
    <row r="4525" spans="1:10" customHeight="0">
      <c r="A4525" s="2" t="inlineStr">
        <is>
          <t>Принтеры</t>
        </is>
      </c>
      <c r="B4525" s="2" t="inlineStr">
        <is>
          <t>TSC</t>
        </is>
      </c>
      <c r="C4525" s="2" t="inlineStr">
        <is>
          <t>99-158A034-2142</t>
        </is>
      </c>
      <c r="D4525" s="2" t="inlineStr">
        <is>
          <t>Термопринтер TSC DA220 (99-158A034-2142) 203dpi 152.4мм/с/USB/RS232/Eth для печ.накл. черный</t>
        </is>
      </c>
      <c r="E4525" s="2" t="inlineStr">
        <is>
          <t>+ </t>
        </is>
      </c>
      <c r="F4525" s="2" t="inlineStr">
        <is>
          <t>+ </t>
        </is>
      </c>
      <c r="H4525" s="2">
        <v>394</v>
      </c>
      <c r="I4525" s="2" t="inlineStr">
        <is>
          <t>$</t>
        </is>
      </c>
      <c r="J4525" s="2">
        <f>HYPERLINK("https://app.astro.lead-studio.pro/product/36f6cc4c-0649-407e-b0e5-a84adf49a0a4")</f>
      </c>
    </row>
    <row r="4526" spans="1:10" customHeight="0">
      <c r="A4526" s="2" t="inlineStr">
        <is>
          <t>Принтеры</t>
        </is>
      </c>
      <c r="B4526" s="2" t="inlineStr">
        <is>
          <t>TSC</t>
        </is>
      </c>
      <c r="C4526" s="2" t="inlineStr">
        <is>
          <t>99-158A002-0002</t>
        </is>
      </c>
      <c r="D4526" s="2" t="inlineStr">
        <is>
          <t>Термопринтер TSC DA310 (99-158A002-0002  ) 300dpi 102мм/с/USB/BT для печ.этик. черный</t>
        </is>
      </c>
      <c r="E4526" s="2" t="inlineStr">
        <is>
          <t>+ </t>
        </is>
      </c>
      <c r="F4526" s="2" t="inlineStr">
        <is>
          <t>+ </t>
        </is>
      </c>
      <c r="H4526" s="2">
        <v>399</v>
      </c>
      <c r="I4526" s="2" t="inlineStr">
        <is>
          <t>$</t>
        </is>
      </c>
      <c r="J4526" s="2">
        <f>HYPERLINK("https://app.astro.lead-studio.pro/product/a2c7fdc8-2123-4fea-b900-cf1c8b19ea80")</f>
      </c>
    </row>
    <row r="4527" spans="1:10" customHeight="0">
      <c r="A4527" s="2" t="inlineStr">
        <is>
          <t>Принтеры</t>
        </is>
      </c>
      <c r="B4527" s="2" t="inlineStr">
        <is>
          <t>TSC</t>
        </is>
      </c>
      <c r="C4527" s="2" t="inlineStr">
        <is>
          <t>MB241T-A001-0202</t>
        </is>
      </c>
      <c r="D4527" s="2" t="inlineStr">
        <is>
          <t>Термопринтер TSC MB241T (MB241T-A001-0202) 203dpi 304.8мм/с 3.5"/USB/RS232/Eth/Wi-Fi/BT для печ.этик. черный</t>
        </is>
      </c>
      <c r="E4527" s="2" t="inlineStr">
        <is>
          <t>+ </t>
        </is>
      </c>
      <c r="F4527" s="2" t="inlineStr">
        <is>
          <t>+ </t>
        </is>
      </c>
      <c r="H4527" s="2">
        <v>990</v>
      </c>
      <c r="I4527" s="2" t="inlineStr">
        <is>
          <t>$</t>
        </is>
      </c>
      <c r="J4527" s="2">
        <f>HYPERLINK("https://app.astro.lead-studio.pro/product/724d9f87-3913-452d-ab89-61c9f3c55bff")</f>
      </c>
    </row>
    <row r="4528" spans="1:10" customHeight="0">
      <c r="A4528" s="2" t="inlineStr">
        <is>
          <t>Принтеры</t>
        </is>
      </c>
      <c r="B4528" s="2" t="inlineStr">
        <is>
          <t>TSC</t>
        </is>
      </c>
      <c r="C4528" s="2" t="inlineStr">
        <is>
          <t>99-068A002-1202</t>
        </is>
      </c>
      <c r="D4528" s="2" t="inlineStr">
        <is>
          <t>Термопринтер TSC MB340T (99-068A002-1202) 300dpi 152мм/с/USB/RS232/Eth для печ.этик. черный</t>
        </is>
      </c>
      <c r="E4528" s="2" t="inlineStr">
        <is>
          <t>+ </t>
        </is>
      </c>
      <c r="F4528" s="2" t="inlineStr">
        <is>
          <t>+ </t>
        </is>
      </c>
      <c r="H4528" s="2">
        <v>1074</v>
      </c>
      <c r="I4528" s="2" t="inlineStr">
        <is>
          <t>$</t>
        </is>
      </c>
      <c r="J4528" s="2">
        <f>HYPERLINK("https://app.astro.lead-studio.pro/product/fb1558aa-17e0-4427-8b0f-a5fffc004290")</f>
      </c>
    </row>
    <row r="4529" spans="1:10" customHeight="0">
      <c r="A4529" s="2" t="inlineStr">
        <is>
          <t>Принтеры</t>
        </is>
      </c>
      <c r="B4529" s="2" t="inlineStr">
        <is>
          <t>TSC</t>
        </is>
      </c>
      <c r="C4529" s="2" t="inlineStr">
        <is>
          <t>MH341T-A001-0302</t>
        </is>
      </c>
      <c r="D4529" s="2" t="inlineStr">
        <is>
          <t>Термопринтер TSC MH341T (MH341T-A001-0302) 300dpi 305мм/с 3.5"/USB/RS232/Eth/Wi-Fi/BT для печ.этик. черный</t>
        </is>
      </c>
      <c r="E4529" s="2" t="inlineStr">
        <is>
          <t>+ </t>
        </is>
      </c>
      <c r="F4529" s="2" t="inlineStr">
        <is>
          <t>+ </t>
        </is>
      </c>
      <c r="H4529" s="2">
        <v>1644</v>
      </c>
      <c r="I4529" s="2" t="inlineStr">
        <is>
          <t>$</t>
        </is>
      </c>
      <c r="J4529" s="2">
        <f>HYPERLINK("https://app.astro.lead-studio.pro/product/b839e158-bfd4-4d03-be6e-42e6b1f93e07")</f>
      </c>
    </row>
    <row r="4530" spans="1:10" customHeight="0">
      <c r="A4530" s="2" t="inlineStr">
        <is>
          <t>Принтеры</t>
        </is>
      </c>
      <c r="B4530" s="2" t="inlineStr">
        <is>
          <t>TSC</t>
        </is>
      </c>
      <c r="C4530" s="2" t="inlineStr">
        <is>
          <t>99-080A006-0302</t>
        </is>
      </c>
      <c r="D4530" s="2" t="inlineStr">
        <is>
          <t>Термопринтер TSC ML340P (99-080A006-0302) 300dpi 127мм/с 2.3"/USB/RS232/Eth для печ.этик. черный</t>
        </is>
      </c>
      <c r="E4530" s="2" t="inlineStr">
        <is>
          <t>+ </t>
        </is>
      </c>
      <c r="F4530" s="2" t="inlineStr">
        <is>
          <t>+ </t>
        </is>
      </c>
      <c r="H4530" s="2">
        <v>971</v>
      </c>
      <c r="I4530" s="2" t="inlineStr">
        <is>
          <t>$</t>
        </is>
      </c>
      <c r="J4530" s="2">
        <f>HYPERLINK("https://app.astro.lead-studio.pro/product/aae124f4-595e-4a80-b1ab-0a67f9fa259b")</f>
      </c>
    </row>
    <row r="4531" spans="1:10" customHeight="0">
      <c r="A4531" s="2" t="inlineStr">
        <is>
          <t>Принтеры</t>
        </is>
      </c>
      <c r="B4531" s="2" t="inlineStr">
        <is>
          <t>TSC</t>
        </is>
      </c>
      <c r="C4531" s="2" t="inlineStr">
        <is>
          <t>99-059A003-6002</t>
        </is>
      </c>
      <c r="D4531" s="2" t="inlineStr">
        <is>
          <t>Термопринтер TSC TC200 (99-059A003-6002) 203dpi 152мм/с/USB/RS232/Eth для печ.этик. черный</t>
        </is>
      </c>
      <c r="E4531" s="2" t="inlineStr">
        <is>
          <t>+ </t>
        </is>
      </c>
      <c r="F4531" s="2" t="inlineStr">
        <is>
          <t>+ </t>
        </is>
      </c>
      <c r="H4531" s="2">
        <v>492</v>
      </c>
      <c r="I4531" s="2" t="inlineStr">
        <is>
          <t>$</t>
        </is>
      </c>
      <c r="J4531" s="2">
        <f>HYPERLINK("https://app.astro.lead-studio.pro/product/cad4b23a-c6d5-4500-8957-a7feca303f40")</f>
      </c>
    </row>
    <row r="4532" spans="1:10" customHeight="0">
      <c r="A4532" s="2" t="inlineStr">
        <is>
          <t>Принтеры</t>
        </is>
      </c>
      <c r="B4532" s="2" t="inlineStr">
        <is>
          <t>TSC</t>
        </is>
      </c>
      <c r="C4532" s="2" t="inlineStr">
        <is>
          <t>99-065A701-00LF00</t>
        </is>
      </c>
      <c r="D4532" s="2" t="inlineStr">
        <is>
          <t>Термопринтер TSC TE300 (99-065A701-00LF00) 300dpi 127мм/с/USB для печ.этик. черный</t>
        </is>
      </c>
      <c r="E4532" s="2" t="inlineStr">
        <is>
          <t>+ </t>
        </is>
      </c>
      <c r="F4532" s="2" t="inlineStr">
        <is>
          <t>+ </t>
        </is>
      </c>
      <c r="H4532" s="2">
        <v>348</v>
      </c>
      <c r="I4532" s="2" t="inlineStr">
        <is>
          <t>$</t>
        </is>
      </c>
      <c r="J4532" s="2">
        <f>HYPERLINK("https://app.astro.lead-studio.pro/product/a23740f8-a2ca-41eb-ad49-0b1cdd5b19cd")</f>
      </c>
    </row>
    <row r="4533" spans="1:10" customHeight="0">
      <c r="A4533" s="2" t="inlineStr">
        <is>
          <t>Принтеры</t>
        </is>
      </c>
      <c r="B4533" s="2" t="inlineStr">
        <is>
          <t>TSC</t>
        </is>
      </c>
      <c r="C4533" s="2" t="inlineStr">
        <is>
          <t>99-065A901-S1LF00</t>
        </is>
      </c>
      <c r="D4533" s="2" t="inlineStr">
        <is>
          <t>Термопринтер TSC TE310 (99-065A901-S1LF00) 300dpi 152мм/с/USB/RS232/Eth/Wi-Fi/BT для печ.этик. черный</t>
        </is>
      </c>
      <c r="E4533" s="2" t="inlineStr">
        <is>
          <t>+ </t>
        </is>
      </c>
      <c r="F4533" s="2" t="inlineStr">
        <is>
          <t>+ </t>
        </is>
      </c>
      <c r="H4533" s="2">
        <v>650</v>
      </c>
      <c r="I4533" s="2" t="inlineStr">
        <is>
          <t>$</t>
        </is>
      </c>
      <c r="J4533" s="2">
        <f>HYPERLINK("https://app.astro.lead-studio.pro/product/32018d26-44ef-4825-895f-7e0b41d4dc97")</f>
      </c>
    </row>
    <row r="4534" spans="1:10" customHeight="0">
      <c r="A4534" s="2" t="inlineStr">
        <is>
          <t>Внешние жесткие диски</t>
        </is>
      </c>
      <c r="B4534" s="2" t="inlineStr">
        <is>
          <t>A-DATA</t>
        </is>
      </c>
      <c r="C4534" s="2" t="inlineStr">
        <is>
          <t>SE920-4TCBK</t>
        </is>
      </c>
      <c r="D4534" s="2" t="inlineStr">
        <is>
          <t>Накопитель SSD A-Data USB-C 4.0 4TB SE920-4TCBK SE920 2.5" черный</t>
        </is>
      </c>
      <c r="E4534" s="2" t="inlineStr">
        <is>
          <t>+ </t>
        </is>
      </c>
      <c r="F4534" s="2" t="inlineStr">
        <is>
          <t>+ </t>
        </is>
      </c>
      <c r="H4534" s="2">
        <v>482</v>
      </c>
      <c r="I4534" s="2" t="inlineStr">
        <is>
          <t>$</t>
        </is>
      </c>
      <c r="J4534" s="2">
        <f>HYPERLINK("https://app.astro.lead-studio.pro/product/58f936d0-b12c-45c9-a487-33c0fe74ee54")</f>
      </c>
    </row>
    <row r="4535" spans="1:10" customHeight="0">
      <c r="A4535" s="2" t="inlineStr">
        <is>
          <t>Внешние жесткие диски</t>
        </is>
      </c>
      <c r="B4535" s="2" t="inlineStr">
        <is>
          <t>A-DATA</t>
        </is>
      </c>
      <c r="C4535" s="2" t="inlineStr">
        <is>
          <t>SD810-4000G-CBK</t>
        </is>
      </c>
      <c r="D4535" s="2" t="inlineStr">
        <is>
          <t>Накопитель SSD A-Data USB-C 4TB SD810-4000G-CBK SD810 1.8" черный</t>
        </is>
      </c>
      <c r="E4535" s="2" t="inlineStr">
        <is>
          <t>+ </t>
        </is>
      </c>
      <c r="F4535" s="2" t="inlineStr">
        <is>
          <t>+ </t>
        </is>
      </c>
      <c r="H4535" s="2">
        <v>380</v>
      </c>
      <c r="I4535" s="2" t="inlineStr">
        <is>
          <t>$</t>
        </is>
      </c>
      <c r="J4535" s="2">
        <f>HYPERLINK("https://app.astro.lead-studio.pro/product/feb720dc-8e7d-46a4-8584-fd4cfe787a5a")</f>
      </c>
    </row>
    <row r="4536" spans="1:10" customHeight="0">
      <c r="A4536" s="2" t="inlineStr">
        <is>
          <t>Внешние жесткие диски</t>
        </is>
      </c>
      <c r="B4536" s="2" t="inlineStr">
        <is>
          <t>A-DATA</t>
        </is>
      </c>
      <c r="C4536" s="2" t="inlineStr">
        <is>
          <t>SD810-4000G-CSG</t>
        </is>
      </c>
      <c r="D4536" s="2" t="inlineStr">
        <is>
          <t>Накопитель SSD A-Data USB-C 4TB SD810-4000G-CSG SD810 1.8" серый</t>
        </is>
      </c>
      <c r="E4536" s="2" t="inlineStr">
        <is>
          <t>+ </t>
        </is>
      </c>
      <c r="F4536" s="2" t="inlineStr">
        <is>
          <t>+ </t>
        </is>
      </c>
      <c r="H4536" s="2">
        <v>371</v>
      </c>
      <c r="I4536" s="2" t="inlineStr">
        <is>
          <t>$</t>
        </is>
      </c>
      <c r="J4536" s="2">
        <f>HYPERLINK("https://app.astro.lead-studio.pro/product/c43abda6-ae8f-4243-90dd-09dfde29152d")</f>
      </c>
    </row>
    <row r="4537" spans="1:10" customHeight="0">
      <c r="A4537" s="2" t="inlineStr">
        <is>
          <t>Внешние жесткие диски</t>
        </is>
      </c>
      <c r="B4537" s="2" t="inlineStr">
        <is>
          <t>DIGMA</t>
        </is>
      </c>
      <c r="C4537" s="2" t="inlineStr">
        <is>
          <t>DGSM8004T2MGG</t>
        </is>
      </c>
      <c r="D4537" s="2" t="inlineStr">
        <is>
          <t>Накопитель SSD Digma USB3.2 Gen2x2 4TB DGSM8004T2MGG MEGA X 1.8" темно-серый</t>
        </is>
      </c>
      <c r="E4537" s="2" t="inlineStr">
        <is>
          <t>+ </t>
        </is>
      </c>
      <c r="F4537" s="2" t="inlineStr">
        <is>
          <t>+ </t>
        </is>
      </c>
      <c r="H4537" s="2">
        <v>332</v>
      </c>
      <c r="I4537" s="2" t="inlineStr">
        <is>
          <t>$</t>
        </is>
      </c>
      <c r="J4537" s="2">
        <f>HYPERLINK("https://app.astro.lead-studio.pro/product/7ddc1506-3676-4931-9fa4-7e3dd916cdcf")</f>
      </c>
    </row>
    <row r="4538" spans="1:10" customHeight="0">
      <c r="A4538" s="2" t="inlineStr">
        <is>
          <t>Внешние жесткие диски</t>
        </is>
      </c>
      <c r="B4538" s="2" t="inlineStr">
        <is>
          <t>KINGSTON</t>
        </is>
      </c>
      <c r="C4538" s="2" t="inlineStr">
        <is>
          <t>SXS2000/4000G</t>
        </is>
      </c>
      <c r="D4538" s="2" t="inlineStr">
        <is>
          <t>Накопитель SSD Kingston USB 3.2 4TB SXS2000/4000G XS2000 1.8" серый</t>
        </is>
      </c>
      <c r="E4538" s="2" t="inlineStr">
        <is>
          <t>+ </t>
        </is>
      </c>
      <c r="F4538" s="2" t="inlineStr">
        <is>
          <t>+ </t>
        </is>
      </c>
      <c r="H4538" s="2">
        <v>416</v>
      </c>
      <c r="I4538" s="2" t="inlineStr">
        <is>
          <t>$</t>
        </is>
      </c>
      <c r="J4538" s="2">
        <f>HYPERLINK("https://app.astro.lead-studio.pro/product/b9124b31-e9f6-41b4-8f1f-e083f0bd890f")</f>
      </c>
    </row>
    <row r="4539" spans="1:10" customHeight="0">
      <c r="A4539" s="2" t="inlineStr">
        <is>
          <t>Внешние жесткие диски</t>
        </is>
      </c>
      <c r="B4539" s="2" t="inlineStr">
        <is>
          <t>PATRIOT</t>
        </is>
      </c>
      <c r="C4539" s="2" t="inlineStr">
        <is>
          <t>PTP4TBPEC</t>
        </is>
      </c>
      <c r="D4539" s="2" t="inlineStr">
        <is>
          <t>Накопитель SSD Patriot USB-C 4TB PTP4TBPEC Transporter 2.5" черный</t>
        </is>
      </c>
      <c r="E4539" s="2" t="inlineStr">
        <is>
          <t>+ </t>
        </is>
      </c>
      <c r="F4539" s="2" t="inlineStr">
        <is>
          <t>+ </t>
        </is>
      </c>
      <c r="H4539" s="2">
        <v>314</v>
      </c>
      <c r="I4539" s="2" t="inlineStr">
        <is>
          <t>$</t>
        </is>
      </c>
      <c r="J4539" s="2">
        <f>HYPERLINK("https://app.astro.lead-studio.pro/product/58804d68-451d-4743-8a27-9334af88a38a")</f>
      </c>
    </row>
    <row r="4540" spans="1:10" customHeight="0">
      <c r="A4540" s="2" t="inlineStr">
        <is>
          <t>Внешние жесткие диски</t>
        </is>
      </c>
      <c r="B4540" s="2" t="inlineStr">
        <is>
          <t>SEAGATE</t>
        </is>
      </c>
      <c r="C4540" s="2" t="inlineStr">
        <is>
          <t>STKP12000400</t>
        </is>
      </c>
      <c r="D4540" s="2" t="inlineStr">
        <is>
          <t>Жесткий диск Seagate USB 3.0 12.2TB STKP12000400 Expansion 3.5" черный</t>
        </is>
      </c>
      <c r="E4540" s="2" t="inlineStr">
        <is>
          <t>+ </t>
        </is>
      </c>
      <c r="F4540" s="2" t="inlineStr">
        <is>
          <t>+ </t>
        </is>
      </c>
      <c r="H4540" s="2">
        <v>351</v>
      </c>
      <c r="I4540" s="2" t="inlineStr">
        <is>
          <t>$</t>
        </is>
      </c>
      <c r="J4540" s="2">
        <f>HYPERLINK("https://app.astro.lead-studio.pro/product/9e49a033-704a-41d4-99a1-51a9d20efe9d")</f>
      </c>
    </row>
    <row r="4541" spans="1:10" customHeight="0">
      <c r="A4541" s="2" t="inlineStr">
        <is>
          <t>Внешние жесткие диски</t>
        </is>
      </c>
      <c r="B4541" s="2" t="inlineStr">
        <is>
          <t>SEAGATE</t>
        </is>
      </c>
      <c r="C4541" s="2" t="inlineStr">
        <is>
          <t>STLC12000400</t>
        </is>
      </c>
      <c r="D4541" s="2" t="inlineStr">
        <is>
          <t>Жесткий диск Seagate USB 3.0 12.2TB STLC12000400 One Touch Hub 3.5" черный USB 3.0 type C</t>
        </is>
      </c>
      <c r="E4541" s="2" t="inlineStr">
        <is>
          <t>+ </t>
        </is>
      </c>
      <c r="F4541" s="2" t="inlineStr">
        <is>
          <t>+ </t>
        </is>
      </c>
      <c r="H4541" s="2">
        <v>349</v>
      </c>
      <c r="I4541" s="2" t="inlineStr">
        <is>
          <t>$</t>
        </is>
      </c>
      <c r="J4541" s="2">
        <f>HYPERLINK("https://app.astro.lead-studio.pro/product/eb4592a5-f8dd-4210-b32a-d5d042123585")</f>
      </c>
    </row>
    <row r="4542" spans="1:10" customHeight="0">
      <c r="A4542" s="2" t="inlineStr">
        <is>
          <t>Внешние жесткие диски</t>
        </is>
      </c>
      <c r="B4542" s="2" t="inlineStr">
        <is>
          <t>SEAGATE</t>
        </is>
      </c>
      <c r="C4542" s="2" t="inlineStr">
        <is>
          <t>STKP14000400</t>
        </is>
      </c>
      <c r="D4542" s="2" t="inlineStr">
        <is>
          <t>Жесткий диск Seagate USB 3.0 14TB STKP14000400 Expansion 3.5" черный</t>
        </is>
      </c>
      <c r="E4542" s="2" t="inlineStr">
        <is>
          <t>+ </t>
        </is>
      </c>
      <c r="F4542" s="2" t="inlineStr">
        <is>
          <t>+ </t>
        </is>
      </c>
      <c r="H4542" s="2">
        <v>362</v>
      </c>
      <c r="I4542" s="2" t="inlineStr">
        <is>
          <t>$</t>
        </is>
      </c>
      <c r="J4542" s="2">
        <f>HYPERLINK("https://app.astro.lead-studio.pro/product/9b2a4aa8-46d7-4f69-b347-2c362b25c41d")</f>
      </c>
    </row>
    <row r="4543" spans="1:10" customHeight="0">
      <c r="A4543" s="2" t="inlineStr">
        <is>
          <t>Внешние жесткие диски</t>
        </is>
      </c>
      <c r="B4543" s="2" t="inlineStr">
        <is>
          <t>SEAGATE</t>
        </is>
      </c>
      <c r="C4543" s="2" t="inlineStr">
        <is>
          <t>STLC14000400</t>
        </is>
      </c>
      <c r="D4543" s="2" t="inlineStr">
        <is>
          <t>Жесткий диск Seagate USB 3.0 14TB STLC14000400 One Touch Hub 3.5" черный</t>
        </is>
      </c>
      <c r="E4543" s="2" t="inlineStr">
        <is>
          <t>+ </t>
        </is>
      </c>
      <c r="F4543" s="2" t="inlineStr">
        <is>
          <t>+ </t>
        </is>
      </c>
      <c r="H4543" s="2">
        <v>405</v>
      </c>
      <c r="I4543" s="2" t="inlineStr">
        <is>
          <t>$</t>
        </is>
      </c>
      <c r="J4543" s="2">
        <f>HYPERLINK("https://app.astro.lead-studio.pro/product/f2805660-171f-4227-94de-24d058e28004")</f>
      </c>
    </row>
    <row r="4544" spans="1:10" customHeight="0">
      <c r="A4544" s="2" t="inlineStr">
        <is>
          <t>Внешние жесткие диски</t>
        </is>
      </c>
      <c r="B4544" s="2" t="inlineStr">
        <is>
          <t>SEAGATE</t>
        </is>
      </c>
      <c r="C4544" s="2" t="inlineStr">
        <is>
          <t>STKP16000400</t>
        </is>
      </c>
      <c r="D4544" s="2" t="inlineStr">
        <is>
          <t>Жесткий диск Seagate USB 3.0 16TB STKP16000400 Expansion 3.5" черный</t>
        </is>
      </c>
      <c r="E4544" s="2" t="inlineStr">
        <is>
          <t>+ </t>
        </is>
      </c>
      <c r="F4544" s="2" t="inlineStr">
        <is>
          <t>+ </t>
        </is>
      </c>
      <c r="H4544" s="2">
        <v>400</v>
      </c>
      <c r="I4544" s="2" t="inlineStr">
        <is>
          <t>$</t>
        </is>
      </c>
      <c r="J4544" s="2">
        <f>HYPERLINK("https://app.astro.lead-studio.pro/product/08c07524-19bb-449f-8db5-1105ddfa6b4f")</f>
      </c>
    </row>
    <row r="4545" spans="1:10" customHeight="0">
      <c r="A4545" s="2" t="inlineStr">
        <is>
          <t>Внешние жесткие диски</t>
        </is>
      </c>
      <c r="B4545" s="2" t="inlineStr">
        <is>
          <t>SEAGATE</t>
        </is>
      </c>
      <c r="C4545" s="2" t="inlineStr">
        <is>
          <t>STLC16000400</t>
        </is>
      </c>
      <c r="D4545" s="2" t="inlineStr">
        <is>
          <t>Жесткий диск Seagate USB 3.0 16TB STLC16000400 One Touch Hub 3.5" черный</t>
        </is>
      </c>
      <c r="E4545" s="2" t="inlineStr">
        <is>
          <t>+ </t>
        </is>
      </c>
      <c r="F4545" s="2" t="inlineStr">
        <is>
          <t>+ </t>
        </is>
      </c>
      <c r="H4545" s="2">
        <v>438</v>
      </c>
      <c r="I4545" s="2" t="inlineStr">
        <is>
          <t>$</t>
        </is>
      </c>
      <c r="J4545" s="2">
        <f>HYPERLINK("https://app.astro.lead-studio.pro/product/51a841b0-96e9-44da-b435-7ace8994510e")</f>
      </c>
    </row>
    <row r="4546" spans="1:10" customHeight="0">
      <c r="A4546" s="2" t="inlineStr">
        <is>
          <t>Внешние жесткие диски</t>
        </is>
      </c>
      <c r="B4546" s="2" t="inlineStr">
        <is>
          <t>SEAGATE</t>
        </is>
      </c>
      <c r="C4546" s="2" t="inlineStr">
        <is>
          <t>STKP18000400</t>
        </is>
      </c>
      <c r="D4546" s="2" t="inlineStr">
        <is>
          <t>Жесткий диск Seagate USB 3.0 18TB STKP18000400 Expansion 3.5" черный</t>
        </is>
      </c>
      <c r="E4546" s="2" t="inlineStr">
        <is>
          <t>+ </t>
        </is>
      </c>
      <c r="F4546" s="2" t="inlineStr">
        <is>
          <t>+ </t>
        </is>
      </c>
      <c r="H4546" s="2">
        <v>468</v>
      </c>
      <c r="I4546" s="2" t="inlineStr">
        <is>
          <t>$</t>
        </is>
      </c>
      <c r="J4546" s="2">
        <f>HYPERLINK("https://app.astro.lead-studio.pro/product/0858a716-c360-4046-9c79-537bd67b89ea")</f>
      </c>
    </row>
    <row r="4547" spans="1:10" customHeight="0">
      <c r="A4547" s="2" t="inlineStr">
        <is>
          <t>Внешние жесткие диски</t>
        </is>
      </c>
      <c r="B4547" s="2" t="inlineStr">
        <is>
          <t>SEAGATE</t>
        </is>
      </c>
      <c r="C4547" s="2" t="inlineStr">
        <is>
          <t>STLC18000402</t>
        </is>
      </c>
      <c r="D4547" s="2" t="inlineStr">
        <is>
          <t>Жесткий диск Seagate USB 3.0 18TB STLC18000402 One Touch Hub 3.5" черный USB 3.0 type C</t>
        </is>
      </c>
      <c r="E4547" s="2" t="inlineStr">
        <is>
          <t>+ </t>
        </is>
      </c>
      <c r="F4547" s="2" t="inlineStr">
        <is>
          <t>+ </t>
        </is>
      </c>
      <c r="H4547" s="2">
        <v>490</v>
      </c>
      <c r="I4547" s="2" t="inlineStr">
        <is>
          <t>$</t>
        </is>
      </c>
      <c r="J4547" s="2">
        <f>HYPERLINK("https://app.astro.lead-studio.pro/product/315abd4c-7a2f-493a-acbf-0339bf151b6e")</f>
      </c>
    </row>
    <row r="4548" spans="1:10" customHeight="0">
      <c r="A4548" s="2" t="inlineStr">
        <is>
          <t>Внешние жесткие диски</t>
        </is>
      </c>
      <c r="B4548" s="2" t="inlineStr">
        <is>
          <t>SILICON POWER</t>
        </is>
      </c>
      <c r="C4548" s="2" t="inlineStr">
        <is>
          <t>SP040TBPSDPX10CK</t>
        </is>
      </c>
      <c r="D4548" s="2" t="inlineStr">
        <is>
          <t>Накопитель SSD Silicon Power USB-C 4TB SP040TBPSDPX10CK PX10 1.8" черный</t>
        </is>
      </c>
      <c r="E4548" s="2" t="inlineStr">
        <is>
          <t>+ </t>
        </is>
      </c>
      <c r="F4548" s="2" t="inlineStr">
        <is>
          <t>+ </t>
        </is>
      </c>
      <c r="H4548" s="2">
        <v>353</v>
      </c>
      <c r="I4548" s="2" t="inlineStr">
        <is>
          <t>$</t>
        </is>
      </c>
      <c r="J4548" s="2">
        <f>HYPERLINK("https://app.astro.lead-studio.pro/product/fdcbf2f0-8c8f-4750-8010-7c799c737039")</f>
      </c>
    </row>
    <row r="4549" spans="1:10" customHeight="0">
      <c r="A4549" s="2" t="inlineStr">
        <is>
          <t>Внешние жесткие диски</t>
        </is>
      </c>
      <c r="B4549" s="2" t="inlineStr">
        <is>
          <t>WD</t>
        </is>
      </c>
      <c r="C4549" s="2" t="inlineStr">
        <is>
          <t>WDBWLG0100HBK-EESN</t>
        </is>
      </c>
      <c r="D4549" s="2" t="inlineStr">
        <is>
          <t>Жесткий диск WD USB 3.0 10TB WDBWLG0100HBK-EESN Elements Desktop 3.5" черный</t>
        </is>
      </c>
      <c r="E4549" s="2" t="inlineStr">
        <is>
          <t>+ </t>
        </is>
      </c>
      <c r="F4549" s="2" t="inlineStr">
        <is>
          <t>+ </t>
        </is>
      </c>
      <c r="H4549" s="2">
        <v>344</v>
      </c>
      <c r="I4549" s="2" t="inlineStr">
        <is>
          <t>$</t>
        </is>
      </c>
      <c r="J4549" s="2">
        <f>HYPERLINK("https://app.astro.lead-studio.pro/product/8e99a77e-3def-4d45-8deb-d4c4d934907e")</f>
      </c>
    </row>
    <row r="4550" spans="1:10" customHeight="0">
      <c r="A4550" s="2" t="inlineStr">
        <is>
          <t>Внешние жесткие диски</t>
        </is>
      </c>
      <c r="B4550" s="2" t="inlineStr">
        <is>
          <t>WD</t>
        </is>
      </c>
      <c r="C4550" s="2" t="inlineStr">
        <is>
          <t>WDBBGB0120HBK-EESN</t>
        </is>
      </c>
      <c r="D4550" s="2" t="inlineStr">
        <is>
          <t>Жесткий диск WD USB 3.0 12.2TB WDBBGB0120HBK-EESN My Book 3.5" черный</t>
        </is>
      </c>
      <c r="E4550" s="2" t="inlineStr">
        <is>
          <t>+ </t>
        </is>
      </c>
      <c r="F4550" s="2" t="inlineStr">
        <is>
          <t>+ </t>
        </is>
      </c>
      <c r="H4550" s="2">
        <v>361</v>
      </c>
      <c r="I4550" s="2" t="inlineStr">
        <is>
          <t>$</t>
        </is>
      </c>
      <c r="J4550" s="2">
        <f>HYPERLINK("https://app.astro.lead-studio.pro/product/df7b35fb-33a3-44e4-8301-ca933390dede")</f>
      </c>
    </row>
    <row r="4551" spans="1:10" customHeight="0">
      <c r="A4551" s="2" t="inlineStr">
        <is>
          <t>Внешние жесткие диски</t>
        </is>
      </c>
      <c r="B4551" s="2" t="inlineStr">
        <is>
          <t>WD</t>
        </is>
      </c>
      <c r="C4551" s="2" t="inlineStr">
        <is>
          <t>WDBWLG0120HBK-EESN</t>
        </is>
      </c>
      <c r="D4551" s="2" t="inlineStr">
        <is>
          <t>Жесткий диск WD USB 3.0 12.2TB WDBWLG0120HBK-EESN Elements Desktop 3.5" черный</t>
        </is>
      </c>
      <c r="E4551" s="2" t="inlineStr">
        <is>
          <t>+ </t>
        </is>
      </c>
      <c r="F4551" s="2" t="inlineStr">
        <is>
          <t>+ </t>
        </is>
      </c>
      <c r="H4551" s="2">
        <v>395</v>
      </c>
      <c r="I4551" s="2" t="inlineStr">
        <is>
          <t>$</t>
        </is>
      </c>
      <c r="J4551" s="2">
        <f>HYPERLINK("https://app.astro.lead-studio.pro/product/46af2d56-7baa-4a49-8964-412d9665cb28")</f>
      </c>
    </row>
    <row r="4552" spans="1:10" customHeight="0">
      <c r="A4552" s="2" t="inlineStr">
        <is>
          <t>Внешние жесткие диски</t>
        </is>
      </c>
      <c r="B4552" s="2" t="inlineStr">
        <is>
          <t>WD</t>
        </is>
      </c>
      <c r="C4552" s="2" t="inlineStr">
        <is>
          <t>WDBBGB0140HBK-EESN</t>
        </is>
      </c>
      <c r="D4552" s="2" t="inlineStr">
        <is>
          <t>Жесткий диск WD USB 3.0 14TB WDBBGB0140HBK-EESN My Book 3.5" черный</t>
        </is>
      </c>
      <c r="E4552" s="2" t="inlineStr">
        <is>
          <t>+ </t>
        </is>
      </c>
      <c r="F4552" s="2" t="inlineStr">
        <is>
          <t>+ </t>
        </is>
      </c>
      <c r="H4552" s="2">
        <v>406</v>
      </c>
      <c r="I4552" s="2" t="inlineStr">
        <is>
          <t>$</t>
        </is>
      </c>
      <c r="J4552" s="2">
        <f>HYPERLINK("https://app.astro.lead-studio.pro/product/2c08a79c-2f46-4577-99a6-42ad14b0987e")</f>
      </c>
    </row>
    <row r="4553" spans="1:10" customHeight="0">
      <c r="A4553" s="2" t="inlineStr">
        <is>
          <t>Внешние жесткие диски</t>
        </is>
      </c>
      <c r="B4553" s="2" t="inlineStr">
        <is>
          <t>WD</t>
        </is>
      </c>
      <c r="C4553" s="2" t="inlineStr">
        <is>
          <t>WDBWLG0140HBK-EESN</t>
        </is>
      </c>
      <c r="D4553" s="2" t="inlineStr">
        <is>
          <t>Жесткий диск WD USB 3.0 14TB WDBWLG0140HBK-EESN Elements Desktop 3.5" черный</t>
        </is>
      </c>
      <c r="E4553" s="2" t="inlineStr">
        <is>
          <t>+ </t>
        </is>
      </c>
      <c r="F4553" s="2" t="inlineStr">
        <is>
          <t>+ </t>
        </is>
      </c>
      <c r="H4553" s="2">
        <v>433</v>
      </c>
      <c r="I4553" s="2" t="inlineStr">
        <is>
          <t>$</t>
        </is>
      </c>
      <c r="J4553" s="2">
        <f>HYPERLINK("https://app.astro.lead-studio.pro/product/ada18022-5e5e-4b41-bb0e-126fbda22796")</f>
      </c>
    </row>
    <row r="4554" spans="1:10" customHeight="0">
      <c r="A4554" s="2" t="inlineStr">
        <is>
          <t>Внешние жесткие диски</t>
        </is>
      </c>
      <c r="B4554" s="2" t="inlineStr">
        <is>
          <t>WD</t>
        </is>
      </c>
      <c r="C4554" s="2" t="inlineStr">
        <is>
          <t>WDBBGB0160HBK-EESN</t>
        </is>
      </c>
      <c r="D4554" s="2" t="inlineStr">
        <is>
          <t>Жесткий диск WD USB 3.0 16TB WDBBGB0160HBK-EESN My Book 3.5" черный</t>
        </is>
      </c>
      <c r="E4554" s="2" t="inlineStr">
        <is>
          <t>+ </t>
        </is>
      </c>
      <c r="F4554" s="2" t="inlineStr">
        <is>
          <t>+ </t>
        </is>
      </c>
      <c r="H4554" s="2">
        <v>459</v>
      </c>
      <c r="I4554" s="2" t="inlineStr">
        <is>
          <t>$</t>
        </is>
      </c>
      <c r="J4554" s="2">
        <f>HYPERLINK("https://app.astro.lead-studio.pro/product/2a232c9d-f997-4621-a92f-388dfd99d415")</f>
      </c>
    </row>
    <row r="4555" spans="1:10" customHeight="0">
      <c r="A4555" s="2" t="inlineStr">
        <is>
          <t>Внешние жесткие диски</t>
        </is>
      </c>
      <c r="B4555" s="2" t="inlineStr">
        <is>
          <t>WD</t>
        </is>
      </c>
      <c r="C4555" s="2" t="inlineStr">
        <is>
          <t>WDBWLG0160HBK-EESN</t>
        </is>
      </c>
      <c r="D4555" s="2" t="inlineStr">
        <is>
          <t>Жесткий диск WD USB 3.0 16TB WDBWLG0160HBK-EESN Elements Desktop 3.5" черный</t>
        </is>
      </c>
      <c r="E4555" s="2" t="inlineStr">
        <is>
          <t>+ </t>
        </is>
      </c>
      <c r="F4555" s="2" t="inlineStr">
        <is>
          <t>+ </t>
        </is>
      </c>
      <c r="H4555" s="2">
        <v>502</v>
      </c>
      <c r="I4555" s="2" t="inlineStr">
        <is>
          <t>$</t>
        </is>
      </c>
      <c r="J4555" s="2">
        <f>HYPERLINK("https://app.astro.lead-studio.pro/product/f4ca7092-2724-4948-aed3-e5f94f9bd4ed")</f>
      </c>
    </row>
    <row r="4556" spans="1:10" customHeight="0">
      <c r="A4556" s="2" t="inlineStr">
        <is>
          <t>Внешние жесткие диски</t>
        </is>
      </c>
      <c r="B4556" s="2" t="inlineStr">
        <is>
          <t>WD</t>
        </is>
      </c>
      <c r="C4556" s="2" t="inlineStr">
        <is>
          <t>WDBWLG0180HBK-EESN</t>
        </is>
      </c>
      <c r="D4556" s="2" t="inlineStr">
        <is>
          <t>Жесткий диск WD USB 3.0 18TB WDBWLG0180HBK-EESN Elements Desktop 3.5" черный</t>
        </is>
      </c>
      <c r="E4556" s="2" t="inlineStr">
        <is>
          <t>+ </t>
        </is>
      </c>
      <c r="F4556" s="2" t="inlineStr">
        <is>
          <t>+ </t>
        </is>
      </c>
      <c r="H4556" s="2">
        <v>556</v>
      </c>
      <c r="I4556" s="2" t="inlineStr">
        <is>
          <t>$</t>
        </is>
      </c>
      <c r="J4556" s="2">
        <f>HYPERLINK("https://app.astro.lead-studio.pro/product/f31291c8-d933-47ae-a503-a9f8a2ab64ac")</f>
      </c>
    </row>
    <row r="4557" spans="1:10" customHeight="0">
      <c r="A4557" s="2" t="inlineStr">
        <is>
          <t>Внешние жесткие диски</t>
        </is>
      </c>
      <c r="B4557" s="2" t="inlineStr">
        <is>
          <t>QNAP</t>
        </is>
      </c>
      <c r="C4557" s="2" t="inlineStr">
        <is>
          <t>TS-432PXU-2G</t>
        </is>
      </c>
      <c r="D4557" s="2" t="inlineStr">
        <is>
          <t>Сетевое хранилище NAS Qnap TS-432PXU-2G 4-bay стоечный Cortex-A57 AL-324</t>
        </is>
      </c>
      <c r="E4557" s="2" t="inlineStr">
        <is>
          <t>+ </t>
        </is>
      </c>
      <c r="F4557" s="2" t="inlineStr">
        <is>
          <t>+ </t>
        </is>
      </c>
      <c r="H4557" s="2">
        <v>2077</v>
      </c>
      <c r="I4557" s="2" t="inlineStr">
        <is>
          <t>$</t>
        </is>
      </c>
      <c r="J4557" s="2">
        <f>HYPERLINK("https://app.astro.lead-studio.pro/product/9fa89714-e971-41bf-b4fc-9ed0e3318593")</f>
      </c>
    </row>
    <row r="4558" spans="1:10" customHeight="0">
      <c r="A4558" s="2" t="inlineStr">
        <is>
          <t>Серверные опции</t>
        </is>
      </c>
      <c r="B4558" s="2" t="inlineStr">
        <is>
          <t>SAMSUNG</t>
        </is>
      </c>
      <c r="C4558" s="2" t="inlineStr">
        <is>
          <t>MZILT1T9HBJR-00007</t>
        </is>
      </c>
      <c r="D4558" s="2" t="inlineStr">
        <is>
          <t>Накопитель SSD Samsung 1920GB SAS MZILT1T9HBJR-00007 2.5"</t>
        </is>
      </c>
      <c r="E4558" s="2" t="inlineStr">
        <is>
          <t>++ </t>
        </is>
      </c>
      <c r="F4558" s="2" t="inlineStr">
        <is>
          <t>++ </t>
        </is>
      </c>
      <c r="H4558" s="2">
        <v>694</v>
      </c>
      <c r="I4558" s="2" t="inlineStr">
        <is>
          <t>$</t>
        </is>
      </c>
      <c r="J4558" s="2">
        <f>HYPERLINK("https://app.astro.lead-studio.pro/product/d8b8358e-79e1-4edf-8401-0ea223d14674")</f>
      </c>
    </row>
    <row r="4559" spans="1:10" customHeight="0">
      <c r="A4559" s="2" t="inlineStr">
        <is>
          <t>Серверные опции</t>
        </is>
      </c>
      <c r="B4559" s="2" t="inlineStr">
        <is>
          <t>SAMSUNG</t>
        </is>
      </c>
      <c r="C4559" s="2" t="inlineStr">
        <is>
          <t>MZWLO3T8HCLS-00B07</t>
        </is>
      </c>
      <c r="D4559" s="2" t="inlineStr">
        <is>
          <t>Накопитель SSD Samsung 3.84TB PCIe 5.0 x8 MZWLO3T8HCLS-00B07 Hot Swapp 2.5"</t>
        </is>
      </c>
      <c r="E4559" s="2" t="inlineStr">
        <is>
          <t>+ </t>
        </is>
      </c>
      <c r="F4559" s="2" t="inlineStr">
        <is>
          <t>+ </t>
        </is>
      </c>
      <c r="H4559" s="2">
        <v>1394</v>
      </c>
      <c r="I4559" s="2" t="inlineStr">
        <is>
          <t>$</t>
        </is>
      </c>
      <c r="J4559" s="2">
        <f>HYPERLINK("https://app.astro.lead-studio.pro/product/fbbb943e-dc24-4fd1-9f4a-96092be102f2")</f>
      </c>
    </row>
    <row r="4560" spans="1:10" customHeight="0">
      <c r="A4560" s="2" t="inlineStr">
        <is>
          <t>Серверные опции</t>
        </is>
      </c>
      <c r="B4560" s="2" t="inlineStr">
        <is>
          <t>SAMSUNG</t>
        </is>
      </c>
      <c r="C4560" s="2" t="inlineStr">
        <is>
          <t>MZILT3T8HBLS-00007</t>
        </is>
      </c>
      <c r="D4560" s="2" t="inlineStr">
        <is>
          <t>Накопитель SSD Samsung 3.84TB SAS MZILT3T8HBLS-00007 Hot Swapp 2.5"</t>
        </is>
      </c>
      <c r="E4560" s="2" t="inlineStr">
        <is>
          <t>+ </t>
        </is>
      </c>
      <c r="F4560" s="2" t="inlineStr">
        <is>
          <t>+ </t>
        </is>
      </c>
      <c r="H4560" s="2">
        <v>1156</v>
      </c>
      <c r="I4560" s="2" t="inlineStr">
        <is>
          <t>$</t>
        </is>
      </c>
      <c r="J4560" s="2">
        <f>HYPERLINK("https://app.astro.lead-studio.pro/product/b93d337c-b62e-4cc2-a6b1-5d043c733753")</f>
      </c>
    </row>
    <row r="4561" spans="1:10" customHeight="0">
      <c r="A4561" s="2" t="inlineStr">
        <is>
          <t>Серверные опции</t>
        </is>
      </c>
      <c r="B4561" s="2" t="inlineStr">
        <is>
          <t>SAMSUNG</t>
        </is>
      </c>
      <c r="C4561" s="2" t="inlineStr">
        <is>
          <t>MZILG7T6HBLA-00A07</t>
        </is>
      </c>
      <c r="D4561" s="2" t="inlineStr">
        <is>
          <t>Накопитель SSD Samsung 7.68TB SAS MZILG7T6HBLA-00A07 2.5"</t>
        </is>
      </c>
      <c r="E4561" s="2" t="inlineStr">
        <is>
          <t>+ </t>
        </is>
      </c>
      <c r="F4561" s="2" t="inlineStr">
        <is>
          <t>+ </t>
        </is>
      </c>
      <c r="H4561" s="2">
        <v>1964</v>
      </c>
      <c r="I4561" s="2" t="inlineStr">
        <is>
          <t>$</t>
        </is>
      </c>
      <c r="J4561" s="2">
        <f>HYPERLINK("https://app.astro.lead-studio.pro/product/5d016f3f-2b34-4526-8b06-cb8ee11c5538")</f>
      </c>
    </row>
    <row r="4562" spans="1:10" customHeight="0">
      <c r="A4562" s="2" t="inlineStr">
        <is>
          <t>Серверные опции</t>
        </is>
      </c>
      <c r="B4562" s="2" t="inlineStr">
        <is>
          <t>SAMSUNG</t>
        </is>
      </c>
      <c r="C4562" s="2" t="inlineStr">
        <is>
          <t>MZILG960HCHQ-00A07</t>
        </is>
      </c>
      <c r="D4562" s="2" t="inlineStr">
        <is>
          <t>Накопитель SSD Samsung 960GB SAS для да MZILG960HCHQ-00A07 (MZILG960HCHQ-00A07) 2.5"</t>
        </is>
      </c>
      <c r="E4562" s="2" t="inlineStr">
        <is>
          <t>+ </t>
        </is>
      </c>
      <c r="F4562" s="2" t="inlineStr">
        <is>
          <t>+ </t>
        </is>
      </c>
      <c r="H4562" s="2">
        <v>478</v>
      </c>
      <c r="I4562" s="2" t="inlineStr">
        <is>
          <t>$</t>
        </is>
      </c>
      <c r="J4562" s="2">
        <f>HYPERLINK("https://app.astro.lead-studio.pro/product/7dfc68c5-0c0a-4fdb-ba72-7a945c1a384a")</f>
      </c>
    </row>
    <row r="4563" spans="1:10" customHeight="0">
      <c r="A4563" s="2" t="inlineStr">
        <is>
          <t>Серверные опции</t>
        </is>
      </c>
      <c r="B4563" s="2" t="inlineStr">
        <is>
          <t>SAMSUNG</t>
        </is>
      </c>
      <c r="C4563" s="2" t="inlineStr">
        <is>
          <t>M386AAG40BM3-CWE</t>
        </is>
      </c>
      <c r="D4563" s="2" t="inlineStr">
        <is>
          <t>Память DDR4 Samsung M386AAG40BM3-CWE 128Gb DIMM ECC Reg PC4-25600 CL22 3200MHz</t>
        </is>
      </c>
      <c r="E4563" s="2" t="inlineStr">
        <is>
          <t>+ </t>
        </is>
      </c>
      <c r="F4563" s="2" t="inlineStr">
        <is>
          <t>+ </t>
        </is>
      </c>
      <c r="H4563" s="2">
        <v>826</v>
      </c>
      <c r="I4563" s="2" t="inlineStr">
        <is>
          <t>$</t>
        </is>
      </c>
      <c r="J4563" s="2">
        <f>HYPERLINK("https://app.astro.lead-studio.pro/product/ad56b079-ae28-4859-9499-49dba79d6024")</f>
      </c>
    </row>
    <row r="4564" spans="1:10" customHeight="0">
      <c r="A4564" s="2" t="inlineStr">
        <is>
          <t>Серверные опции</t>
        </is>
      </c>
      <c r="B4564" s="2" t="inlineStr">
        <is>
          <t>SAMSUNG</t>
        </is>
      </c>
      <c r="C4564" s="2" t="inlineStr">
        <is>
          <t>M393AAG40M32-CAE</t>
        </is>
      </c>
      <c r="D4564" s="2" t="inlineStr">
        <is>
          <t>Память DDR4 Samsung M393AAG40M32-CAE 128Gb DIMM ECC Reg PC4-25600 CL22 3200MHz</t>
        </is>
      </c>
      <c r="E4564" s="2" t="inlineStr">
        <is>
          <t>+ </t>
        </is>
      </c>
      <c r="F4564" s="2" t="inlineStr">
        <is>
          <t>+ </t>
        </is>
      </c>
      <c r="H4564" s="2">
        <v>968</v>
      </c>
      <c r="I4564" s="2" t="inlineStr">
        <is>
          <t>$</t>
        </is>
      </c>
      <c r="J4564" s="2">
        <f>HYPERLINK("https://app.astro.lead-studio.pro/product/342a64e7-6c26-4e57-ae42-03c3be9be616")</f>
      </c>
    </row>
    <row r="4565" spans="1:10" customHeight="0">
      <c r="A4565" s="2" t="inlineStr">
        <is>
          <t>Серверные опции</t>
        </is>
      </c>
      <c r="B4565" s="2" t="inlineStr">
        <is>
          <t>SAMSUNG</t>
        </is>
      </c>
      <c r="C4565" s="2" t="inlineStr">
        <is>
          <t>M321R8GA0BB0-CQKZJ</t>
        </is>
      </c>
      <c r="D4565" s="2" t="inlineStr">
        <is>
          <t>Память DDR5 Samsung M321R8GA0BB0-CQKZJ 64Gb DIMM ECC Reg 4800MHz</t>
        </is>
      </c>
      <c r="E4565" s="2" t="inlineStr">
        <is>
          <t>+ </t>
        </is>
      </c>
      <c r="F4565" s="2" t="inlineStr">
        <is>
          <t>+ </t>
        </is>
      </c>
      <c r="H4565" s="2">
        <v>393</v>
      </c>
      <c r="I4565" s="2" t="inlineStr">
        <is>
          <t>$</t>
        </is>
      </c>
      <c r="J4565" s="2">
        <f>HYPERLINK("https://app.astro.lead-studio.pro/product/a8494b4b-3e9d-42ca-bdab-9f3f86101f12")</f>
      </c>
    </row>
    <row r="4566" spans="1:10" customHeight="0">
      <c r="A4566" s="2" t="inlineStr">
        <is>
          <t>Серверные опции</t>
        </is>
      </c>
      <c r="B4566" s="2" t="inlineStr">
        <is>
          <t>SAMSUNG</t>
        </is>
      </c>
      <c r="C4566" s="2" t="inlineStr">
        <is>
          <t>M321RAGA0B20-CWK</t>
        </is>
      </c>
      <c r="D4566" s="2" t="inlineStr">
        <is>
          <t>Память DDR5 Samsung M321RAGA0B20-CWK 128Gb DIMM ECC Reg PC5-38400 CL40 4800MHz</t>
        </is>
      </c>
      <c r="E4566" s="2" t="inlineStr">
        <is>
          <t>+ </t>
        </is>
      </c>
      <c r="F4566" s="2" t="inlineStr">
        <is>
          <t>+ </t>
        </is>
      </c>
      <c r="H4566" s="2">
        <v>1283</v>
      </c>
      <c r="I4566" s="2" t="inlineStr">
        <is>
          <t>$</t>
        </is>
      </c>
      <c r="J4566" s="2">
        <f>HYPERLINK("https://app.astro.lead-studio.pro/product/d7c3d5ce-e3a0-4321-be8b-43a6c2cb1124")</f>
      </c>
    </row>
    <row r="4567" spans="1:10" customHeight="0">
      <c r="A4567" s="2" t="inlineStr">
        <is>
          <t>Серверные опции</t>
        </is>
      </c>
      <c r="B4567" s="2" t="inlineStr">
        <is>
          <t>ТМИ</t>
        </is>
      </c>
      <c r="C4567" s="2" t="inlineStr">
        <is>
          <t>ЦРМП.467526.003-01</t>
        </is>
      </c>
      <c r="D4567" s="2" t="inlineStr">
        <is>
          <t>Память DDR4 ТМИ ЦРМП.467526.003-01 32Gb RDIMM ECC Reg PC4-25600 CL24 3200MHz</t>
        </is>
      </c>
      <c r="E4567" s="2" t="inlineStr">
        <is>
          <t>+++ </t>
        </is>
      </c>
      <c r="F4567" s="2" t="inlineStr">
        <is>
          <t>+++ </t>
        </is>
      </c>
      <c r="H4567" s="2">
        <v>373</v>
      </c>
      <c r="I4567" s="2" t="inlineStr">
        <is>
          <t>$</t>
        </is>
      </c>
      <c r="J4567" s="2">
        <f>HYPERLINK("https://app.astro.lead-studio.pro/product/2cf2c620-b721-4078-9370-ef7b613506a1")</f>
      </c>
    </row>
    <row r="4568" spans="1:10" customHeight="0">
      <c r="A4568" s="2" t="inlineStr">
        <is>
          <t>Серверы</t>
        </is>
      </c>
      <c r="B4568" s="2" t="inlineStr">
        <is>
          <t>IRU</t>
        </is>
      </c>
      <c r="C4568" s="2" t="inlineStr">
        <is>
          <t>2025557</t>
        </is>
      </c>
      <c r="D4568" s="2" t="inlineStr">
        <is>
          <t>Сервер IRU Rock c2212p 2x5218 8x32Gb 2x14Tb SATA 2x480Gb SSD SATA 9361-8I AST2500 2x10Gb/s SFP+ 2x800W w/o OS (2025557)</t>
        </is>
      </c>
      <c r="E4568" s="2" t="inlineStr">
        <is>
          <t>+ </t>
        </is>
      </c>
      <c r="F4568" s="2" t="inlineStr">
        <is>
          <t>+ </t>
        </is>
      </c>
      <c r="H4568" s="2">
        <v>6165</v>
      </c>
      <c r="I4568" s="2" t="inlineStr">
        <is>
          <t>$</t>
        </is>
      </c>
      <c r="J4568" s="2">
        <f>HYPERLINK("https://app.astro.lead-studio.pro/product/74ef76be-e15c-4d0b-bafa-00891dfef6c8")</f>
      </c>
    </row>
    <row r="4569" spans="1:10" customHeight="0">
      <c r="A4569" s="2" t="inlineStr">
        <is>
          <t>Серверы</t>
        </is>
      </c>
      <c r="B4569" s="2" t="inlineStr">
        <is>
          <t>IRU</t>
        </is>
      </c>
      <c r="C4569" s="2" t="inlineStr">
        <is>
          <t>2077721</t>
        </is>
      </c>
      <c r="D4569" s="2" t="inlineStr">
        <is>
          <t>Сервер IRU Rock g2208ig3 2x4310 2x32Gb С621A AST2500 2xGigEth 2x800W w/o OS (2077721)</t>
        </is>
      </c>
      <c r="E4569" s="2" t="inlineStr">
        <is>
          <t>+ </t>
        </is>
      </c>
      <c r="F4569" s="2" t="inlineStr">
        <is>
          <t>+ </t>
        </is>
      </c>
      <c r="H4569" s="2">
        <v>5135</v>
      </c>
      <c r="I4569" s="2" t="inlineStr">
        <is>
          <t>$</t>
        </is>
      </c>
      <c r="J4569" s="2">
        <f>HYPERLINK("https://app.astro.lead-studio.pro/product/c2181c70-6f3d-430f-9511-a0e605261b48")</f>
      </c>
    </row>
    <row r="4570" spans="1:10" customHeight="0">
      <c r="A4570" s="2" t="inlineStr">
        <is>
          <t>Серверы</t>
        </is>
      </c>
      <c r="B4570" s="2" t="inlineStr">
        <is>
          <t>IRU</t>
        </is>
      </c>
      <c r="C4570" s="2" t="inlineStr">
        <is>
          <t>2078545</t>
        </is>
      </c>
      <c r="D4570" s="2" t="inlineStr">
        <is>
          <t>Сервер IRU Rock g2208ig3 2x4314 4x32Gb С621 AST2500 2xGigEth 2x800W w/o OS (2078545)</t>
        </is>
      </c>
      <c r="E4570" s="2" t="inlineStr">
        <is>
          <t>+ </t>
        </is>
      </c>
      <c r="F4570" s="2" t="inlineStr">
        <is>
          <t>+ </t>
        </is>
      </c>
      <c r="H4570" s="2">
        <v>5556</v>
      </c>
      <c r="I4570" s="2" t="inlineStr">
        <is>
          <t>$</t>
        </is>
      </c>
      <c r="J4570" s="2">
        <f>HYPERLINK("https://app.astro.lead-studio.pro/product/c88f8ed3-ce82-46b3-80a5-d00c9f509703")</f>
      </c>
    </row>
    <row r="4571" spans="1:10" customHeight="0">
      <c r="A4571" s="2" t="inlineStr">
        <is>
          <t>Серверы</t>
        </is>
      </c>
      <c r="B4571" s="2" t="inlineStr">
        <is>
          <t>IRU</t>
        </is>
      </c>
      <c r="C4571" s="2" t="inlineStr">
        <is>
          <t>2078568</t>
        </is>
      </c>
      <c r="D4571" s="2" t="inlineStr">
        <is>
          <t>Сервер IRU Rock g2212ig3 2x5315Y 4x32Gb 9361-8I AST2500 2xGigEth 2x1300W w/o OS (2078568)</t>
        </is>
      </c>
      <c r="E4571" s="2" t="inlineStr">
        <is>
          <t>+ </t>
        </is>
      </c>
      <c r="F4571" s="2" t="inlineStr">
        <is>
          <t>+ </t>
        </is>
      </c>
      <c r="H4571" s="2">
        <v>7610</v>
      </c>
      <c r="I4571" s="2" t="inlineStr">
        <is>
          <t>$</t>
        </is>
      </c>
      <c r="J4571" s="2">
        <f>HYPERLINK("https://app.astro.lead-studio.pro/product/4fb55d9a-6f9d-4b7b-8eee-d49520b6dcd5")</f>
      </c>
    </row>
    <row r="4572" spans="1:10" customHeight="0">
      <c r="A4572" s="2" t="inlineStr">
        <is>
          <t>Серверы</t>
        </is>
      </c>
      <c r="B4572" s="2" t="inlineStr">
        <is>
          <t>IRU</t>
        </is>
      </c>
      <c r="C4572" s="2" t="inlineStr">
        <is>
          <t>2079101</t>
        </is>
      </c>
      <c r="D4572" s="2" t="inlineStr">
        <is>
          <t>Сервер IRU Rock g2212ig3 2x5317 4x32Gb 9361-8I AST2500 2xGigEth 2x1300W w/o OS (2079101)</t>
        </is>
      </c>
      <c r="E4572" s="2" t="inlineStr">
        <is>
          <t>+ </t>
        </is>
      </c>
      <c r="F4572" s="2" t="inlineStr">
        <is>
          <t>+ </t>
        </is>
      </c>
      <c r="H4572" s="2">
        <v>7872</v>
      </c>
      <c r="I4572" s="2" t="inlineStr">
        <is>
          <t>$</t>
        </is>
      </c>
      <c r="J4572" s="2">
        <f>HYPERLINK("https://app.astro.lead-studio.pro/product/0c5a581e-6b6a-429d-8974-effdd959bf60")</f>
      </c>
    </row>
    <row r="4573" spans="1:10" customHeight="0">
      <c r="A4573" s="2" t="inlineStr">
        <is>
          <t>Серверы</t>
        </is>
      </c>
      <c r="B4573" s="2" t="inlineStr">
        <is>
          <t>IRU</t>
        </is>
      </c>
      <c r="C4573" s="2" t="inlineStr">
        <is>
          <t>2077767</t>
        </is>
      </c>
      <c r="D4573" s="2" t="inlineStr">
        <is>
          <t>Сервер IRU Rock g2212ig3 2x6326 4x32Gb 9361-8I AST2500 2xGigEth 2x1300W w/o OS (2077767)</t>
        </is>
      </c>
      <c r="E4573" s="2" t="inlineStr">
        <is>
          <t>+ </t>
        </is>
      </c>
      <c r="F4573" s="2" t="inlineStr">
        <is>
          <t>+ </t>
        </is>
      </c>
      <c r="H4573" s="2">
        <v>8789</v>
      </c>
      <c r="I4573" s="2" t="inlineStr">
        <is>
          <t>$</t>
        </is>
      </c>
      <c r="J4573" s="2">
        <f>HYPERLINK("https://app.astro.lead-studio.pro/product/41a08b58-57cd-4a27-abcf-2d2254bc766a")</f>
      </c>
    </row>
    <row r="4574" spans="1:10" customHeight="0">
      <c r="A4574" s="2" t="inlineStr">
        <is>
          <t>Серверы</t>
        </is>
      </c>
      <c r="B4574" s="2" t="inlineStr">
        <is>
          <t>IRU</t>
        </is>
      </c>
      <c r="C4574" s="2" t="inlineStr">
        <is>
          <t>2078571</t>
        </is>
      </c>
      <c r="D4574" s="2" t="inlineStr">
        <is>
          <t>Сервер IRU Rock g2212p 2x6334 4x64Gb SSD SATA 9361-8I AST2500 4P 10G/2P 1G 2x1600W w/o OS (2078571)</t>
        </is>
      </c>
      <c r="E4574" s="2" t="inlineStr">
        <is>
          <t>+ </t>
        </is>
      </c>
      <c r="F4574" s="2" t="inlineStr">
        <is>
          <t>+ </t>
        </is>
      </c>
      <c r="H4574" s="2">
        <v>11612</v>
      </c>
      <c r="I4574" s="2" t="inlineStr">
        <is>
          <t>$</t>
        </is>
      </c>
      <c r="J4574" s="2">
        <f>HYPERLINK("https://app.astro.lead-studio.pro/product/8300becd-4fb2-45ed-b164-abb8f6bf5a47")</f>
      </c>
    </row>
    <row r="4575" spans="1:10" customHeight="0">
      <c r="A4575" s="2" t="inlineStr">
        <is>
          <t>Серверы</t>
        </is>
      </c>
      <c r="B4575" s="2" t="inlineStr">
        <is>
          <t>IRU</t>
        </is>
      </c>
      <c r="C4575" s="2" t="inlineStr">
        <is>
          <t>1970659</t>
        </is>
      </c>
      <c r="D4575" s="2" t="inlineStr">
        <is>
          <t>Сервер IRU Rock g2212p 2x6342 4x32Gb 2x1Tb SATA С621A 2xGigEth 2x1300W w/o OS (1970659)</t>
        </is>
      </c>
      <c r="E4575" s="2" t="inlineStr">
        <is>
          <t>+ </t>
        </is>
      </c>
      <c r="F4575" s="2" t="inlineStr">
        <is>
          <t>+ </t>
        </is>
      </c>
      <c r="H4575" s="2">
        <v>13726</v>
      </c>
      <c r="I4575" s="2" t="inlineStr">
        <is>
          <t>$</t>
        </is>
      </c>
      <c r="J4575" s="2">
        <f>HYPERLINK("https://app.astro.lead-studio.pro/product/3e2c62e6-0d9e-4cd5-9ffb-176efcd52a37")</f>
      </c>
    </row>
    <row r="4576" spans="1:10" customHeight="0">
      <c r="A4576" s="2" t="inlineStr">
        <is>
          <t>Серверы</t>
        </is>
      </c>
      <c r="B4576" s="2" t="inlineStr">
        <is>
          <t>IRU</t>
        </is>
      </c>
      <c r="C4576" s="2" t="inlineStr">
        <is>
          <t>2064494</t>
        </is>
      </c>
      <c r="D4576" s="2" t="inlineStr">
        <is>
          <t>Сервер IRU Rock g2212p 2x6348 4x64Gb С621A AST2500 2P 1G + 2P 10/25G 2x1300W w/o OS (2064494)</t>
        </is>
      </c>
      <c r="E4576" s="2" t="inlineStr">
        <is>
          <t>+ </t>
        </is>
      </c>
      <c r="F4576" s="2" t="inlineStr">
        <is>
          <t>+ </t>
        </is>
      </c>
      <c r="H4576" s="2">
        <v>12617</v>
      </c>
      <c r="I4576" s="2" t="inlineStr">
        <is>
          <t>$</t>
        </is>
      </c>
      <c r="J4576" s="2">
        <f>HYPERLINK("https://app.astro.lead-studio.pro/product/a9b2fdc0-c517-4a4d-8521-ab1e7fe5b0b8")</f>
      </c>
    </row>
    <row r="4577" spans="1:10" customHeight="0">
      <c r="A4577" s="2" t="inlineStr">
        <is>
          <t>Серверы</t>
        </is>
      </c>
      <c r="B4577" s="2" t="inlineStr">
        <is>
          <t>IRU</t>
        </is>
      </c>
      <c r="C4577" s="2" t="inlineStr">
        <is>
          <t>2079645</t>
        </is>
      </c>
      <c r="D4577" s="2" t="inlineStr">
        <is>
          <t>Сервер IRU Rock g2225p 2x4314 4x32Gb 9361-8I AST2500 2xGigEth 2x1300W w/o OS (2079645)</t>
        </is>
      </c>
      <c r="E4577" s="2" t="inlineStr">
        <is>
          <t>+ </t>
        </is>
      </c>
      <c r="F4577" s="2" t="inlineStr">
        <is>
          <t>+ </t>
        </is>
      </c>
      <c r="H4577" s="2">
        <v>7111</v>
      </c>
      <c r="I4577" s="2" t="inlineStr">
        <is>
          <t>$</t>
        </is>
      </c>
      <c r="J4577" s="2">
        <f>HYPERLINK("https://app.astro.lead-studio.pro/product/bace78c6-a098-43db-8766-12572f627fc4")</f>
      </c>
    </row>
    <row r="4578" spans="1:10" customHeight="0">
      <c r="A4578" s="2" t="inlineStr">
        <is>
          <t>Серверы</t>
        </is>
      </c>
      <c r="B4578" s="2" t="inlineStr">
        <is>
          <t>IRU</t>
        </is>
      </c>
      <c r="C4578" s="2" t="inlineStr">
        <is>
          <t>2070150</t>
        </is>
      </c>
      <c r="D4578" s="2" t="inlineStr">
        <is>
          <t>Сервер IRU Rock g2225p 2x6330 4x64Gb 9361-8I 4P 10G/2P 1G 2x1300W w/o OS (2070150)</t>
        </is>
      </c>
      <c r="E4578" s="2" t="inlineStr">
        <is>
          <t>+ </t>
        </is>
      </c>
      <c r="F4578" s="2" t="inlineStr">
        <is>
          <t>+ </t>
        </is>
      </c>
      <c r="H4578" s="2">
        <v>8801</v>
      </c>
      <c r="I4578" s="2" t="inlineStr">
        <is>
          <t>$</t>
        </is>
      </c>
      <c r="J4578" s="2">
        <f>HYPERLINK("https://app.astro.lead-studio.pro/product/fbb298df-5606-453d-b83b-9e592e61ffa7")</f>
      </c>
    </row>
    <row r="4579" spans="1:10" customHeight="0">
      <c r="A4579" s="2" t="inlineStr">
        <is>
          <t>Серверы</t>
        </is>
      </c>
      <c r="B4579" s="2" t="inlineStr">
        <is>
          <t>IRU</t>
        </is>
      </c>
      <c r="C4579" s="2" t="inlineStr">
        <is>
          <t>2067405</t>
        </is>
      </c>
      <c r="D4579" s="2" t="inlineStr">
        <is>
          <t>Сервер IRU Rock g2225p 2x6354 4x64Gb 9361-8I 2P 1G + 2P 10G SFP+ 2x1300W w/o OS (2067405)</t>
        </is>
      </c>
      <c r="E4579" s="2" t="inlineStr">
        <is>
          <t>+ </t>
        </is>
      </c>
      <c r="F4579" s="2" t="inlineStr">
        <is>
          <t>+ </t>
        </is>
      </c>
      <c r="H4579" s="2">
        <v>13297</v>
      </c>
      <c r="I4579" s="2" t="inlineStr">
        <is>
          <t>$</t>
        </is>
      </c>
      <c r="J4579" s="2">
        <f>HYPERLINK("https://app.astro.lead-studio.pro/product/0f762afc-c472-4272-9c3c-84c67405ce0c")</f>
      </c>
    </row>
    <row r="4580" spans="1:10" customHeight="0">
      <c r="A4580" s="2" t="inlineStr">
        <is>
          <t>Серверы</t>
        </is>
      </c>
      <c r="B4580" s="2" t="inlineStr">
        <is>
          <t>IRU</t>
        </is>
      </c>
      <c r="D4580" s="2" t="inlineStr">
        <is>
          <t>Сервер IRU Rock g4224p 2x4310 2x32Gb 9361-8I AST2500 2P 1G 2x1300W w/o OS</t>
        </is>
      </c>
      <c r="E4580" s="2" t="inlineStr">
        <is>
          <t>+ </t>
        </is>
      </c>
      <c r="F4580" s="2" t="inlineStr">
        <is>
          <t>+ </t>
        </is>
      </c>
      <c r="H4580" s="2">
        <v>6415</v>
      </c>
      <c r="I4580" s="2" t="inlineStr">
        <is>
          <t>$</t>
        </is>
      </c>
    </row>
    <row r="4581" spans="1:10" customHeight="0">
      <c r="A4581" s="2" t="inlineStr">
        <is>
          <t>Серверы</t>
        </is>
      </c>
      <c r="B4581" s="2" t="inlineStr">
        <is>
          <t>IRU</t>
        </is>
      </c>
      <c r="C4581" s="2" t="inlineStr">
        <is>
          <t>1461294</t>
        </is>
      </c>
      <c r="D4581" s="2" t="inlineStr">
        <is>
          <t>Сервер IRU Rock S1102D 1xD-1541 1x16Gb 1x500Gb M.2 PCIe SATA RAID 0/1/5/10 BMC 2P 1G/2P 10G 1x200W w/o OS (1461294)</t>
        </is>
      </c>
      <c r="E4581" s="2" t="inlineStr">
        <is>
          <t>+ </t>
        </is>
      </c>
      <c r="F4581" s="2" t="inlineStr">
        <is>
          <t>+ </t>
        </is>
      </c>
      <c r="H4581" s="2">
        <v>2065</v>
      </c>
      <c r="I4581" s="2" t="inlineStr">
        <is>
          <t>$</t>
        </is>
      </c>
      <c r="J4581" s="2">
        <f>HYPERLINK("https://app.astro.lead-studio.pro/product/23403975-6595-4751-86dc-090a954f385b")</f>
      </c>
    </row>
    <row r="4582" spans="1:10" customHeight="0">
      <c r="A4582" s="2" t="inlineStr">
        <is>
          <t>Серверы</t>
        </is>
      </c>
      <c r="B4582" s="2" t="inlineStr">
        <is>
          <t>IRU</t>
        </is>
      </c>
      <c r="C4582" s="2" t="inlineStr">
        <is>
          <t>2010457</t>
        </is>
      </c>
      <c r="D4582" s="2" t="inlineStr">
        <is>
          <t>Сервер IRU Rock s1204p 2x4114 4x32Gb 1x500Gb SSD С621 AST2500 2xGigEth 2x750W w/o OS (2010457)</t>
        </is>
      </c>
      <c r="E4582" s="2" t="inlineStr">
        <is>
          <t>+ </t>
        </is>
      </c>
      <c r="F4582" s="2" t="inlineStr">
        <is>
          <t>+ </t>
        </is>
      </c>
      <c r="H4582" s="2">
        <v>4379</v>
      </c>
      <c r="I4582" s="2" t="inlineStr">
        <is>
          <t>$</t>
        </is>
      </c>
      <c r="J4582" s="2">
        <f>HYPERLINK("https://app.astro.lead-studio.pro/product/c593c549-e113-40dc-b92a-00effa903398")</f>
      </c>
    </row>
    <row r="4583" spans="1:10" customHeight="0">
      <c r="A4583" s="2" t="inlineStr">
        <is>
          <t>Серверы</t>
        </is>
      </c>
      <c r="B4583" s="2" t="inlineStr">
        <is>
          <t>IRU</t>
        </is>
      </c>
      <c r="C4583" s="2" t="inlineStr">
        <is>
          <t>2073110</t>
        </is>
      </c>
      <c r="D4583" s="2" t="inlineStr">
        <is>
          <t>Сервер IRU Rock S1204P 2x6126 2x32Gb 9240-4i AST2500 4P 10G 2x1000W w/o OS (2073110)</t>
        </is>
      </c>
      <c r="E4583" s="2" t="inlineStr">
        <is>
          <t>+ </t>
        </is>
      </c>
      <c r="F4583" s="2" t="inlineStr">
        <is>
          <t>+ </t>
        </is>
      </c>
      <c r="H4583" s="2">
        <v>4288</v>
      </c>
      <c r="I4583" s="2" t="inlineStr">
        <is>
          <t>$</t>
        </is>
      </c>
      <c r="J4583" s="2">
        <f>HYPERLINK("https://app.astro.lead-studio.pro/product/df51dfcb-1e3a-4fbf-be61-5a45bd11dbb5")</f>
      </c>
    </row>
    <row r="4584" spans="1:10" customHeight="0">
      <c r="A4584" s="2" t="inlineStr">
        <is>
          <t>Серверы</t>
        </is>
      </c>
      <c r="B4584" s="2" t="inlineStr">
        <is>
          <t>IRU</t>
        </is>
      </c>
      <c r="C4584" s="2" t="inlineStr">
        <is>
          <t>2073113</t>
        </is>
      </c>
      <c r="D4584" s="2" t="inlineStr">
        <is>
          <t>Сервер IRU Rock S1204P 2x6148 2x32Gb С621 AST2500 4P 10G 2x1000W w/o OS (2073113)</t>
        </is>
      </c>
      <c r="E4584" s="2" t="inlineStr">
        <is>
          <t>+ </t>
        </is>
      </c>
      <c r="F4584" s="2" t="inlineStr">
        <is>
          <t>+ </t>
        </is>
      </c>
      <c r="H4584" s="2">
        <v>4132</v>
      </c>
      <c r="I4584" s="2" t="inlineStr">
        <is>
          <t>$</t>
        </is>
      </c>
      <c r="J4584" s="2">
        <f>HYPERLINK("https://app.astro.lead-studio.pro/product/5c87f153-67a5-453c-9da0-c4501841ebab")</f>
      </c>
    </row>
    <row r="4585" spans="1:10" customHeight="0">
      <c r="A4585" s="2" t="inlineStr">
        <is>
          <t>Серверы</t>
        </is>
      </c>
      <c r="B4585" s="2" t="inlineStr">
        <is>
          <t>IRU</t>
        </is>
      </c>
      <c r="C4585" s="2" t="inlineStr">
        <is>
          <t>2073107</t>
        </is>
      </c>
      <c r="D4585" s="2" t="inlineStr">
        <is>
          <t>Сервер IRU Rock S1204P 2x6240R 4x32Gb С621 AST2500 4P 10G 2x1000W w/o OS (2073107)</t>
        </is>
      </c>
      <c r="E4585" s="2" t="inlineStr">
        <is>
          <t>+ </t>
        </is>
      </c>
      <c r="F4585" s="2" t="inlineStr">
        <is>
          <t>+ </t>
        </is>
      </c>
      <c r="H4585" s="2">
        <v>8335</v>
      </c>
      <c r="I4585" s="2" t="inlineStr">
        <is>
          <t>$</t>
        </is>
      </c>
      <c r="J4585" s="2">
        <f>HYPERLINK("https://app.astro.lead-studio.pro/product/75bc37b9-52ee-45f4-b756-37dca44d0e43")</f>
      </c>
    </row>
    <row r="4586" spans="1:10" customHeight="0">
      <c r="A4586" s="2" t="inlineStr">
        <is>
          <t>Серверы</t>
        </is>
      </c>
      <c r="B4586" s="2" t="inlineStr">
        <is>
          <t>IRU</t>
        </is>
      </c>
      <c r="C4586" s="2" t="inlineStr">
        <is>
          <t>2023193</t>
        </is>
      </c>
      <c r="D4586" s="2" t="inlineStr">
        <is>
          <t>Сервер IRU Rock S2208P 2x4210R 4x32Gb 1x500Gb M.2 SSD С621 AST2500 2xGigEth 2x1000W w/o OS (2023193)</t>
        </is>
      </c>
      <c r="E4586" s="2" t="inlineStr">
        <is>
          <t>+ </t>
        </is>
      </c>
      <c r="F4586" s="2" t="inlineStr">
        <is>
          <t>+ </t>
        </is>
      </c>
      <c r="H4586" s="2">
        <v>4479</v>
      </c>
      <c r="I4586" s="2" t="inlineStr">
        <is>
          <t>$</t>
        </is>
      </c>
      <c r="J4586" s="2">
        <f>HYPERLINK("https://app.astro.lead-studio.pro/product/c65c7929-6314-459d-8c1e-cd4a95882df2")</f>
      </c>
    </row>
    <row r="4587" spans="1:10" customHeight="0">
      <c r="A4587" s="2" t="inlineStr">
        <is>
          <t>Серверы</t>
        </is>
      </c>
      <c r="B4587" s="2" t="inlineStr">
        <is>
          <t>IRU</t>
        </is>
      </c>
      <c r="C4587" s="2" t="inlineStr">
        <is>
          <t>2014583</t>
        </is>
      </c>
      <c r="D4587" s="2" t="inlineStr">
        <is>
          <t>Сервер IRU Rock s2208p 2x5222 4x32Gb 1x500Gb M.2 SSD С621 AST2500 2xGigEth 2x1000W w/o OS (2014583)</t>
        </is>
      </c>
      <c r="E4587" s="2" t="inlineStr">
        <is>
          <t>+ </t>
        </is>
      </c>
      <c r="F4587" s="2" t="inlineStr">
        <is>
          <t>+ </t>
        </is>
      </c>
      <c r="H4587" s="2">
        <v>6403</v>
      </c>
      <c r="I4587" s="2" t="inlineStr">
        <is>
          <t>$</t>
        </is>
      </c>
      <c r="J4587" s="2">
        <f>HYPERLINK("https://app.astro.lead-studio.pro/product/8190c962-6393-4f1e-8d26-3c7c979d1d1d")</f>
      </c>
    </row>
    <row r="4588" spans="1:10" customHeight="0">
      <c r="A4588" s="2" t="inlineStr">
        <is>
          <t>Серверы</t>
        </is>
      </c>
      <c r="B4588" s="2" t="inlineStr">
        <is>
          <t>IRU</t>
        </is>
      </c>
      <c r="C4588" s="2" t="inlineStr">
        <is>
          <t>2052671</t>
        </is>
      </c>
      <c r="D4588" s="2" t="inlineStr">
        <is>
          <t>Сервер IRU Rock S2208P 2x6240R 2x64Gb С621 AST2500 2x1Gb/s 2x1000W w/o OS (2052671)</t>
        </is>
      </c>
      <c r="E4588" s="2" t="inlineStr">
        <is>
          <t>+ </t>
        </is>
      </c>
      <c r="F4588" s="2" t="inlineStr">
        <is>
          <t>+ </t>
        </is>
      </c>
      <c r="H4588" s="2">
        <v>6663</v>
      </c>
      <c r="I4588" s="2" t="inlineStr">
        <is>
          <t>$</t>
        </is>
      </c>
      <c r="J4588" s="2">
        <f>HYPERLINK("https://app.astro.lead-studio.pro/product/b462b4e3-d2b9-47c1-8314-565a4a05dafc")</f>
      </c>
    </row>
    <row r="4589" spans="1:10" customHeight="0">
      <c r="A4589" s="2" t="inlineStr">
        <is>
          <t>Серверы</t>
        </is>
      </c>
      <c r="B4589" s="2" t="inlineStr">
        <is>
          <t>IRU</t>
        </is>
      </c>
      <c r="D4589" s="2" t="inlineStr">
        <is>
          <t>Сервер IRU Rock S2224P 2x5218R 4x64Gb 2x480Gb 2.5" SSD SATA LSI3108 10G 2P 2x1200W w/o OS</t>
        </is>
      </c>
      <c r="E4589" s="2" t="inlineStr">
        <is>
          <t>+ </t>
        </is>
      </c>
      <c r="F4589" s="2" t="inlineStr">
        <is>
          <t>+ </t>
        </is>
      </c>
      <c r="H4589" s="2">
        <v>6729</v>
      </c>
      <c r="I4589" s="2" t="inlineStr">
        <is>
          <t>$</t>
        </is>
      </c>
    </row>
    <row r="4590" spans="1:10" customHeight="0">
      <c r="A4590" s="2" t="inlineStr">
        <is>
          <t>Серверы</t>
        </is>
      </c>
      <c r="B4590" s="2" t="inlineStr">
        <is>
          <t>IRU</t>
        </is>
      </c>
      <c r="C4590" s="2" t="inlineStr">
        <is>
          <t>2079104</t>
        </is>
      </c>
      <c r="D4590" s="2" t="inlineStr">
        <is>
          <t>Сервер IRU Rock s2224p 2x6126 4x32Gb AOC-S3008L-L8e AST2500 2xGigEth 2x920W w/o OS (2079104)</t>
        </is>
      </c>
      <c r="E4590" s="2" t="inlineStr">
        <is>
          <t>+ </t>
        </is>
      </c>
      <c r="F4590" s="2" t="inlineStr">
        <is>
          <t>+ </t>
        </is>
      </c>
      <c r="H4590" s="2">
        <v>4779</v>
      </c>
      <c r="I4590" s="2" t="inlineStr">
        <is>
          <t>$</t>
        </is>
      </c>
      <c r="J4590" s="2">
        <f>HYPERLINK("https://app.astro.lead-studio.pro/product/ae8dc53d-c543-460c-a85f-0a7e8fbacdff")</f>
      </c>
    </row>
    <row r="4591" spans="1:10" customHeight="0">
      <c r="A4591" s="2" t="inlineStr">
        <is>
          <t>Серверы</t>
        </is>
      </c>
      <c r="B4591" s="2" t="inlineStr">
        <is>
          <t>IRU</t>
        </is>
      </c>
      <c r="D4591" s="2" t="inlineStr">
        <is>
          <t>Сервер IRU Rock s2224p 2x6148 4x32Gb 2x1200W w/o OS</t>
        </is>
      </c>
      <c r="E4591" s="2" t="inlineStr">
        <is>
          <t>+ </t>
        </is>
      </c>
      <c r="F4591" s="2" t="inlineStr">
        <is>
          <t>+ </t>
        </is>
      </c>
      <c r="H4591" s="2">
        <v>7191</v>
      </c>
      <c r="I4591" s="2" t="inlineStr">
        <is>
          <t>$</t>
        </is>
      </c>
    </row>
    <row r="4592" spans="1:10" customHeight="0">
      <c r="A4592" s="2" t="inlineStr">
        <is>
          <t>Серверы</t>
        </is>
      </c>
      <c r="B4592" s="2" t="inlineStr">
        <is>
          <t>YADRO</t>
        </is>
      </c>
      <c r="C4592" s="2" t="inlineStr">
        <is>
          <t>Y04X21051U01A_8FB155</t>
        </is>
      </c>
      <c r="D4592" s="2" t="inlineStr">
        <is>
          <t>Сервер Yadro X2-105 2x4214R 2x32Gb 2x240Gb SATA 2x800W (Y04X21051U01A_8FB155)</t>
        </is>
      </c>
      <c r="E4592" s="2" t="inlineStr">
        <is>
          <t>+ </t>
        </is>
      </c>
      <c r="F4592" s="2" t="inlineStr">
        <is>
          <t>+ </t>
        </is>
      </c>
      <c r="H4592" s="2">
        <v>4471</v>
      </c>
      <c r="I4592" s="2" t="inlineStr">
        <is>
          <t>$</t>
        </is>
      </c>
      <c r="J4592" s="2">
        <f>HYPERLINK("https://app.astro.lead-studio.pro/product/3d1b39c9-b853-48bb-a793-36cb2fc0fff2")</f>
      </c>
    </row>
    <row r="4593" spans="1:10" customHeight="0">
      <c r="A4593" s="2" t="inlineStr">
        <is>
          <t>Серверы</t>
        </is>
      </c>
      <c r="B4593" s="2" t="inlineStr">
        <is>
          <t>IRU</t>
        </is>
      </c>
      <c r="C4593" s="2" t="inlineStr">
        <is>
          <t>2081205</t>
        </is>
      </c>
      <c r="D4593" s="2" t="inlineStr">
        <is>
          <t>Сервер IRU Rock a9103e 1xE-2314 1x16Gb 1x500Gb M.2 SSD NVMe C252 AST2600 2xGigEth 1x700W w/o OS (2081205)</t>
        </is>
      </c>
      <c r="E4593" s="2" t="inlineStr">
        <is>
          <t>+ </t>
        </is>
      </c>
      <c r="F4593" s="2" t="inlineStr">
        <is>
          <t>+ </t>
        </is>
      </c>
      <c r="H4593" s="2">
        <v>1315</v>
      </c>
      <c r="I4593" s="2" t="inlineStr">
        <is>
          <t>$</t>
        </is>
      </c>
      <c r="J4593" s="2">
        <f>HYPERLINK("https://app.astro.lead-studio.pro/product/4a16aeaf-d410-4087-85a5-57ba771ad537")</f>
      </c>
    </row>
    <row r="4594" spans="1:10" customHeight="0">
      <c r="A4594" s="2" t="inlineStr">
        <is>
          <t>Серверы</t>
        </is>
      </c>
      <c r="B4594" s="2" t="inlineStr">
        <is>
          <t>IRU</t>
        </is>
      </c>
      <c r="C4594" s="2" t="inlineStr">
        <is>
          <t>2081284</t>
        </is>
      </c>
      <c r="D4594" s="2" t="inlineStr">
        <is>
          <t>Сервер IRU Rock i9105p 1x4114 1x32Gb С621 AST2500 2xGigEth 1x650W w/o OS (2081284)</t>
        </is>
      </c>
      <c r="E4594" s="2" t="inlineStr">
        <is>
          <t>+ </t>
        </is>
      </c>
      <c r="F4594" s="2" t="inlineStr">
        <is>
          <t>+ </t>
        </is>
      </c>
      <c r="H4594" s="2">
        <v>1834</v>
      </c>
      <c r="I4594" s="2" t="inlineStr">
        <is>
          <t>$</t>
        </is>
      </c>
      <c r="J4594" s="2">
        <f>HYPERLINK("https://app.astro.lead-studio.pro/product/538e9c18-88de-45b5-9683-c75730958a9a")</f>
      </c>
    </row>
    <row r="4595" spans="1:10" customHeight="0">
      <c r="A4595" s="2" t="inlineStr">
        <is>
          <t>Серверы</t>
        </is>
      </c>
      <c r="B4595" s="2" t="inlineStr">
        <is>
          <t>IRU</t>
        </is>
      </c>
      <c r="C4595" s="2" t="inlineStr">
        <is>
          <t>2081125</t>
        </is>
      </c>
      <c r="D4595" s="2" t="inlineStr">
        <is>
          <t>Сервер IRU Rock W9105P 1x6126 2x32Gb С621 AST2500 2xGigEth 1x650W w/o OS (2081125)</t>
        </is>
      </c>
      <c r="E4595" s="2" t="inlineStr">
        <is>
          <t>+ </t>
        </is>
      </c>
      <c r="F4595" s="2" t="inlineStr">
        <is>
          <t>+ </t>
        </is>
      </c>
      <c r="H4595" s="2">
        <v>1983</v>
      </c>
      <c r="I4595" s="2" t="inlineStr">
        <is>
          <t>$</t>
        </is>
      </c>
      <c r="J4595" s="2">
        <f>HYPERLINK("https://app.astro.lead-studio.pro/product/5b75d056-fedc-4a9d-b91a-0985ee80c8a8")</f>
      </c>
    </row>
    <row r="4596" spans="1:10" customHeight="0">
      <c r="A4596" s="2" t="inlineStr">
        <is>
          <t>Серверы</t>
        </is>
      </c>
      <c r="B4596" s="2" t="inlineStr">
        <is>
          <t>IRU</t>
        </is>
      </c>
      <c r="C4596" s="2" t="inlineStr">
        <is>
          <t>2081124</t>
        </is>
      </c>
      <c r="D4596" s="2" t="inlineStr">
        <is>
          <t>Сервер IRU Rock W9105P 1x6148 2x32Gb С621 AST2500 2xGigEth 1x650W w/o OS (2081124)</t>
        </is>
      </c>
      <c r="E4596" s="2" t="inlineStr">
        <is>
          <t>+ </t>
        </is>
      </c>
      <c r="F4596" s="2" t="inlineStr">
        <is>
          <t>+ </t>
        </is>
      </c>
      <c r="H4596" s="2">
        <v>2204</v>
      </c>
      <c r="I4596" s="2" t="inlineStr">
        <is>
          <t>$</t>
        </is>
      </c>
      <c r="J4596" s="2">
        <f>HYPERLINK("https://app.astro.lead-studio.pro/product/64307f8c-e9be-4f02-9768-c28c9d78e236")</f>
      </c>
    </row>
    <row r="4597" spans="1:10" customHeight="0">
      <c r="A4597" s="2" t="inlineStr">
        <is>
          <t>Серверы</t>
        </is>
      </c>
      <c r="B4597" s="2" t="inlineStr">
        <is>
          <t>IRU</t>
        </is>
      </c>
      <c r="C4597" s="2" t="inlineStr">
        <is>
          <t>2073058</t>
        </is>
      </c>
      <c r="D4597" s="2" t="inlineStr">
        <is>
          <t>Сервер IRU Rock W9205P 2x5215 2x32Gb С621 AST2500 2P 10G 1x750W w/o OS (2073058)</t>
        </is>
      </c>
      <c r="E4597" s="2" t="inlineStr">
        <is>
          <t>+ </t>
        </is>
      </c>
      <c r="F4597" s="2" t="inlineStr">
        <is>
          <t>+ </t>
        </is>
      </c>
      <c r="H4597" s="2">
        <v>4178</v>
      </c>
      <c r="I4597" s="2" t="inlineStr">
        <is>
          <t>$</t>
        </is>
      </c>
      <c r="J4597" s="2">
        <f>HYPERLINK("https://app.astro.lead-studio.pro/product/ae0038ec-8448-4a24-8ee8-9a960a996b79")</f>
      </c>
    </row>
    <row r="4598" spans="1:10" customHeight="0">
      <c r="A4598" s="2" t="inlineStr">
        <is>
          <t>Серверы</t>
        </is>
      </c>
      <c r="B4598" s="2" t="inlineStr">
        <is>
          <t>IRU</t>
        </is>
      </c>
      <c r="C4598" s="2" t="inlineStr">
        <is>
          <t>2073059</t>
        </is>
      </c>
      <c r="D4598" s="2" t="inlineStr">
        <is>
          <t>Сервер IRU Rock W9205P 2x5218R 2x32Gb С621 AST2500 2P 10G 1x750W w/o OS (2073059)</t>
        </is>
      </c>
      <c r="E4598" s="2" t="inlineStr">
        <is>
          <t>+ </t>
        </is>
      </c>
      <c r="F4598" s="2" t="inlineStr">
        <is>
          <t>+ </t>
        </is>
      </c>
      <c r="H4598" s="2">
        <v>4267</v>
      </c>
      <c r="I4598" s="2" t="inlineStr">
        <is>
          <t>$</t>
        </is>
      </c>
      <c r="J4598" s="2">
        <f>HYPERLINK("https://app.astro.lead-studio.pro/product/5ffee986-2afa-4e8f-9df4-e7b77652f579")</f>
      </c>
    </row>
    <row r="4599" spans="1:10" customHeight="0">
      <c r="A4599" s="2" t="inlineStr">
        <is>
          <t>Серверы</t>
        </is>
      </c>
      <c r="B4599" s="2" t="inlineStr">
        <is>
          <t>IRU</t>
        </is>
      </c>
      <c r="C4599" s="2" t="inlineStr">
        <is>
          <t>2073057</t>
        </is>
      </c>
      <c r="D4599" s="2" t="inlineStr">
        <is>
          <t>Сервер IRU Rock W9205P 2x5222 2x32Gb С621 AST2500 2P 10G 1x750W w/o OS (2073057)</t>
        </is>
      </c>
      <c r="E4599" s="2" t="inlineStr">
        <is>
          <t>+ </t>
        </is>
      </c>
      <c r="F4599" s="2" t="inlineStr">
        <is>
          <t>+ </t>
        </is>
      </c>
      <c r="H4599" s="2">
        <v>4742</v>
      </c>
      <c r="I4599" s="2" t="inlineStr">
        <is>
          <t>$</t>
        </is>
      </c>
      <c r="J4599" s="2">
        <f>HYPERLINK("https://app.astro.lead-studio.pro/product/40b01c23-0781-469b-9d23-9c76c54292b8")</f>
      </c>
    </row>
    <row r="4600" spans="1:10" customHeight="0">
      <c r="A4600" s="2" t="inlineStr">
        <is>
          <t>Серверы</t>
        </is>
      </c>
      <c r="B4600" s="2" t="inlineStr">
        <is>
          <t>IRU</t>
        </is>
      </c>
      <c r="C4600" s="2" t="inlineStr">
        <is>
          <t>2081223</t>
        </is>
      </c>
      <c r="D4600" s="2" t="inlineStr">
        <is>
          <t>Сервер IRU Rock w9205p 2x6240R 4x32Gb С621 AST2500 2xGigEth 1x750W w/o OS (2081223)</t>
        </is>
      </c>
      <c r="E4600" s="2" t="inlineStr">
        <is>
          <t>+ </t>
        </is>
      </c>
      <c r="F4600" s="2" t="inlineStr">
        <is>
          <t>+ </t>
        </is>
      </c>
      <c r="H4600" s="2">
        <v>7138</v>
      </c>
      <c r="I4600" s="2" t="inlineStr">
        <is>
          <t>$</t>
        </is>
      </c>
      <c r="J4600" s="2">
        <f>HYPERLINK("https://app.astro.lead-studio.pro/product/7d6602f8-2884-4784-9831-2c8e5249d1a9")</f>
      </c>
    </row>
    <row r="4601" spans="1:10" customHeight="0">
      <c r="A4601" s="2" t="inlineStr">
        <is>
          <t>Системы хранения данных (СХД)</t>
        </is>
      </c>
      <c r="B4601" s="2" t="inlineStr">
        <is>
          <t>QNAP</t>
        </is>
      </c>
      <c r="C4601" s="2" t="inlineStr">
        <is>
          <t>D4 (REV. C)</t>
        </is>
      </c>
      <c r="D4601" s="2" t="inlineStr">
        <is>
          <t>Сетевое хранилище NAS Qnap D4 (REV. C) 4-bay настольный Cortex-A55 RK3568B2</t>
        </is>
      </c>
      <c r="E4601" s="2" t="inlineStr">
        <is>
          <t>+ </t>
        </is>
      </c>
      <c r="F4601" s="2" t="inlineStr">
        <is>
          <t>+ </t>
        </is>
      </c>
      <c r="H4601" s="2">
        <v>667</v>
      </c>
      <c r="I4601" s="2" t="inlineStr">
        <is>
          <t>$</t>
        </is>
      </c>
      <c r="J4601" s="2">
        <f>HYPERLINK("https://app.astro.lead-studio.pro/product/9b55a97c-afea-4ff8-bc0f-5f414038bfec")</f>
      </c>
    </row>
    <row r="4602" spans="1:10" customHeight="0">
      <c r="A4602" s="2" t="inlineStr">
        <is>
          <t>Системы хранения данных (СХД)</t>
        </is>
      </c>
      <c r="B4602" s="2" t="inlineStr">
        <is>
          <t>QNAP</t>
        </is>
      </c>
      <c r="C4602" s="2" t="inlineStr">
        <is>
          <t>TS-253E-8G</t>
        </is>
      </c>
      <c r="D4602" s="2" t="inlineStr">
        <is>
          <t>Сетевое хранилище NAS Qnap Original TS-253E-8G 2-bay настольный Celeron J6412</t>
        </is>
      </c>
      <c r="E4602" s="2" t="inlineStr">
        <is>
          <t>+ </t>
        </is>
      </c>
      <c r="F4602" s="2" t="inlineStr">
        <is>
          <t>+ </t>
        </is>
      </c>
      <c r="H4602" s="2">
        <v>1672</v>
      </c>
      <c r="I4602" s="2" t="inlineStr">
        <is>
          <t>$</t>
        </is>
      </c>
      <c r="J4602" s="2">
        <f>HYPERLINK("https://app.astro.lead-studio.pro/product/8de700b1-e9b2-4b8d-814f-6f1bc7e241ec")</f>
      </c>
    </row>
    <row r="4603" spans="1:10" customHeight="0">
      <c r="A4603" s="2" t="inlineStr">
        <is>
          <t>Системы хранения данных (СХД)</t>
        </is>
      </c>
      <c r="B4603" s="2" t="inlineStr">
        <is>
          <t>QNAP</t>
        </is>
      </c>
      <c r="C4603" s="2" t="inlineStr">
        <is>
          <t>TS-262-4G</t>
        </is>
      </c>
      <c r="D4603" s="2" t="inlineStr">
        <is>
          <t>Сетевое хранилище NAS Qnap Original TS-262-4G 2-bay настольный Celeron N4505</t>
        </is>
      </c>
      <c r="E4603" s="2" t="inlineStr">
        <is>
          <t>++ </t>
        </is>
      </c>
      <c r="F4603" s="2" t="inlineStr">
        <is>
          <t>++ </t>
        </is>
      </c>
      <c r="H4603" s="2">
        <v>576</v>
      </c>
      <c r="I4603" s="2" t="inlineStr">
        <is>
          <t>$</t>
        </is>
      </c>
      <c r="J4603" s="2">
        <f>HYPERLINK("https://app.astro.lead-studio.pro/product/43a9902d-244b-4cc2-8a72-8e177cf62b10")</f>
      </c>
    </row>
    <row r="4604" spans="1:10" customHeight="0">
      <c r="A4604" s="2" t="inlineStr">
        <is>
          <t>Системы хранения данных (СХД)</t>
        </is>
      </c>
      <c r="B4604" s="2" t="inlineStr">
        <is>
          <t>QNAP</t>
        </is>
      </c>
      <c r="C4604" s="2" t="inlineStr">
        <is>
          <t>TS-264-8G</t>
        </is>
      </c>
      <c r="D4604" s="2" t="inlineStr">
        <is>
          <t>Сетевое хранилище NAS Qnap Original TS-264-8G 2-bay настольный Celeron N5095</t>
        </is>
      </c>
      <c r="E4604" s="2" t="inlineStr">
        <is>
          <t>+ </t>
        </is>
      </c>
      <c r="F4604" s="2" t="inlineStr">
        <is>
          <t>+ </t>
        </is>
      </c>
      <c r="H4604" s="2">
        <v>1314</v>
      </c>
      <c r="I4604" s="2" t="inlineStr">
        <is>
          <t>$</t>
        </is>
      </c>
      <c r="J4604" s="2">
        <f>HYPERLINK("https://app.astro.lead-studio.pro/product/e3b9ea8f-21c0-48fb-b651-7e11fa3c6c73")</f>
      </c>
    </row>
    <row r="4605" spans="1:10" customHeight="0">
      <c r="A4605" s="2" t="inlineStr">
        <is>
          <t>Системы хранения данных (СХД)</t>
        </is>
      </c>
      <c r="B4605" s="2" t="inlineStr">
        <is>
          <t>QNAP</t>
        </is>
      </c>
      <c r="C4605" s="2" t="inlineStr">
        <is>
          <t>TS-410E-8G</t>
        </is>
      </c>
      <c r="D4605" s="2" t="inlineStr">
        <is>
          <t>Сетевое хранилище NAS Qnap Original TS-410E-8G 4-bay настольный Celeron J6412</t>
        </is>
      </c>
      <c r="E4605" s="2" t="inlineStr">
        <is>
          <t>+ </t>
        </is>
      </c>
      <c r="F4605" s="2" t="inlineStr">
        <is>
          <t>+ </t>
        </is>
      </c>
      <c r="H4605" s="2">
        <v>2543</v>
      </c>
      <c r="I4605" s="2" t="inlineStr">
        <is>
          <t>$</t>
        </is>
      </c>
      <c r="J4605" s="2">
        <f>HYPERLINK("https://app.astro.lead-studio.pro/product/085e6721-eaef-4429-be3a-f48becf2e703")</f>
      </c>
    </row>
    <row r="4606" spans="1:10" customHeight="0">
      <c r="A4606" s="2" t="inlineStr">
        <is>
          <t>Системы хранения данных (СХД)</t>
        </is>
      </c>
      <c r="B4606" s="2" t="inlineStr">
        <is>
          <t>QNAP</t>
        </is>
      </c>
      <c r="C4606" s="2" t="inlineStr">
        <is>
          <t>TS-453E-8G</t>
        </is>
      </c>
      <c r="D4606" s="2" t="inlineStr">
        <is>
          <t>Сетевое хранилище NAS Qnap Original TS-453E-8G 4-bay настольный Celeron J6412</t>
        </is>
      </c>
      <c r="E4606" s="2" t="inlineStr">
        <is>
          <t>+ </t>
        </is>
      </c>
      <c r="F4606" s="2" t="inlineStr">
        <is>
          <t>+ </t>
        </is>
      </c>
      <c r="H4606" s="2">
        <v>2071</v>
      </c>
      <c r="I4606" s="2" t="inlineStr">
        <is>
          <t>$</t>
        </is>
      </c>
      <c r="J4606" s="2">
        <f>HYPERLINK("https://app.astro.lead-studio.pro/product/f875a60d-0501-4bc1-9c00-caa4490b2fec")</f>
      </c>
    </row>
    <row r="4607" spans="1:10" customHeight="0">
      <c r="A4607" s="2" t="inlineStr">
        <is>
          <t>Системы хранения данных (СХД)</t>
        </is>
      </c>
      <c r="B4607" s="2" t="inlineStr">
        <is>
          <t>QNAP</t>
        </is>
      </c>
      <c r="C4607" s="2" t="inlineStr">
        <is>
          <t>TS-462-4G</t>
        </is>
      </c>
      <c r="D4607" s="2" t="inlineStr">
        <is>
          <t>Сетевое хранилище NAS Qnap Original TS-462-4G 4-bay настольный Celeron N4505</t>
        </is>
      </c>
      <c r="E4607" s="2" t="inlineStr">
        <is>
          <t>+ </t>
        </is>
      </c>
      <c r="F4607" s="2" t="inlineStr">
        <is>
          <t>+ </t>
        </is>
      </c>
      <c r="H4607" s="2">
        <v>791</v>
      </c>
      <c r="I4607" s="2" t="inlineStr">
        <is>
          <t>$</t>
        </is>
      </c>
      <c r="J4607" s="2">
        <f>HYPERLINK("https://app.astro.lead-studio.pro/product/f9f5e344-1b05-4bcc-8055-1e3fd2f3254e")</f>
      </c>
    </row>
    <row r="4608" spans="1:10" customHeight="0">
      <c r="A4608" s="2" t="inlineStr">
        <is>
          <t>Системы хранения данных (СХД)</t>
        </is>
      </c>
      <c r="B4608" s="2" t="inlineStr">
        <is>
          <t>QNAP</t>
        </is>
      </c>
      <c r="C4608" s="2" t="inlineStr">
        <is>
          <t>TS-464-8G</t>
        </is>
      </c>
      <c r="D4608" s="2" t="inlineStr">
        <is>
          <t>Сетевое хранилище NAS Qnap Original TS-464-8G 4-bay настольный Celeron N5095</t>
        </is>
      </c>
      <c r="E4608" s="2" t="inlineStr">
        <is>
          <t>+ </t>
        </is>
      </c>
      <c r="F4608" s="2" t="inlineStr">
        <is>
          <t>+ </t>
        </is>
      </c>
      <c r="H4608" s="2">
        <v>1982</v>
      </c>
      <c r="I4608" s="2" t="inlineStr">
        <is>
          <t>$</t>
        </is>
      </c>
      <c r="J4608" s="2">
        <f>HYPERLINK("https://app.astro.lead-studio.pro/product/cfb4c51e-71f9-45f1-b4b5-7eea19363931")</f>
      </c>
    </row>
    <row r="4609" spans="1:10" customHeight="0">
      <c r="A4609" s="2" t="inlineStr">
        <is>
          <t>Системы хранения данных (СХД)</t>
        </is>
      </c>
      <c r="B4609" s="2" t="inlineStr">
        <is>
          <t>QNAP</t>
        </is>
      </c>
      <c r="C4609" s="2" t="inlineStr">
        <is>
          <t>TS-664-8G</t>
        </is>
      </c>
      <c r="D4609" s="2" t="inlineStr">
        <is>
          <t>Сетевое хранилище NAS Qnap Original TS-664-8G 6-bay настольный Celeron N5095</t>
        </is>
      </c>
      <c r="E4609" s="2" t="inlineStr">
        <is>
          <t>+ </t>
        </is>
      </c>
      <c r="F4609" s="2" t="inlineStr">
        <is>
          <t>+ </t>
        </is>
      </c>
      <c r="H4609" s="2">
        <v>2776</v>
      </c>
      <c r="I4609" s="2" t="inlineStr">
        <is>
          <t>$</t>
        </is>
      </c>
      <c r="J4609" s="2">
        <f>HYPERLINK("https://app.astro.lead-studio.pro/product/9e29fff6-54af-45fc-8bc0-4dab98d4534b")</f>
      </c>
    </row>
    <row r="4610" spans="1:10" customHeight="0">
      <c r="A4610" s="2" t="inlineStr">
        <is>
          <t>Системы хранения данных (СХД)</t>
        </is>
      </c>
      <c r="B4610" s="2" t="inlineStr">
        <is>
          <t>QNAP</t>
        </is>
      </c>
      <c r="C4610" s="2" t="inlineStr">
        <is>
          <t>TS-864EU-RP-8G</t>
        </is>
      </c>
      <c r="D4610" s="2" t="inlineStr">
        <is>
          <t>Сетевое хранилище NAS Qnap Original TS-864EU-RP-8G 8-bay стоечный Celeron N5095</t>
        </is>
      </c>
      <c r="E4610" s="2" t="inlineStr">
        <is>
          <t>+ </t>
        </is>
      </c>
      <c r="F4610" s="2" t="inlineStr">
        <is>
          <t>+ </t>
        </is>
      </c>
      <c r="H4610" s="2">
        <v>5989</v>
      </c>
      <c r="I4610" s="2" t="inlineStr">
        <is>
          <t>$</t>
        </is>
      </c>
      <c r="J4610" s="2">
        <f>HYPERLINK("https://app.astro.lead-studio.pro/product/d8ca5d48-e44e-4bbd-b923-99bed5e53c15")</f>
      </c>
    </row>
    <row r="4611" spans="1:10" customHeight="0">
      <c r="A4611" s="2" t="inlineStr">
        <is>
          <t>Системы хранения данных (СХД)</t>
        </is>
      </c>
      <c r="B4611" s="2" t="inlineStr">
        <is>
          <t>QNAP</t>
        </is>
      </c>
      <c r="C4611" s="2" t="inlineStr">
        <is>
          <t>TS-1273AU-RP-8G</t>
        </is>
      </c>
      <c r="D4611" s="2" t="inlineStr">
        <is>
          <t>Сетевое хранилище NAS Qnap TS-1273AU-RP-8G 12-bay стоечный Ryzen V1500B</t>
        </is>
      </c>
      <c r="E4611" s="2" t="inlineStr">
        <is>
          <t>+ </t>
        </is>
      </c>
      <c r="F4611" s="2" t="inlineStr">
        <is>
          <t>+ </t>
        </is>
      </c>
      <c r="H4611" s="2">
        <v>6966</v>
      </c>
      <c r="I4611" s="2" t="inlineStr">
        <is>
          <t>$</t>
        </is>
      </c>
      <c r="J4611" s="2">
        <f>HYPERLINK("https://app.astro.lead-studio.pro/product/643497eb-58a0-46b8-9751-86f772aca19b")</f>
      </c>
    </row>
    <row r="4612" spans="1:10" customHeight="0">
      <c r="A4612" s="2" t="inlineStr">
        <is>
          <t>Системы хранения данных (СХД)</t>
        </is>
      </c>
      <c r="B4612" s="2" t="inlineStr">
        <is>
          <t>QNAP</t>
        </is>
      </c>
      <c r="C4612" s="2" t="inlineStr">
        <is>
          <t>TS-432X-4G</t>
        </is>
      </c>
      <c r="D4612" s="2" t="inlineStr">
        <is>
          <t>Сетевое хранилище NAS Qnap TS-432X-4G 4-bay настольный Alpine AL-524</t>
        </is>
      </c>
      <c r="E4612" s="2" t="inlineStr">
        <is>
          <t>+ </t>
        </is>
      </c>
      <c r="F4612" s="2" t="inlineStr">
        <is>
          <t>+ </t>
        </is>
      </c>
      <c r="H4612" s="2">
        <v>1784</v>
      </c>
      <c r="I4612" s="2" t="inlineStr">
        <is>
          <t>$</t>
        </is>
      </c>
      <c r="J4612" s="2">
        <f>HYPERLINK("https://app.astro.lead-studio.pro/product/ab341686-900a-4a50-b57d-b4454b8a09b6")</f>
      </c>
    </row>
    <row r="4613" spans="1:10" customHeight="0">
      <c r="A4613" s="2" t="inlineStr">
        <is>
          <t>Системы хранения данных (СХД)</t>
        </is>
      </c>
      <c r="B4613" s="2" t="inlineStr">
        <is>
          <t>QNAP</t>
        </is>
      </c>
      <c r="C4613" s="2" t="inlineStr">
        <is>
          <t>TS-464EU-8G</t>
        </is>
      </c>
      <c r="D4613" s="2" t="inlineStr">
        <is>
          <t>Сетевое хранилище NAS Qnap TS-464EU-8G 4-bay стоечный Celeron N5095</t>
        </is>
      </c>
      <c r="E4613" s="2" t="inlineStr">
        <is>
          <t>+ </t>
        </is>
      </c>
      <c r="F4613" s="2" t="inlineStr">
        <is>
          <t>+ </t>
        </is>
      </c>
      <c r="H4613" s="2">
        <v>2614</v>
      </c>
      <c r="I4613" s="2" t="inlineStr">
        <is>
          <t>$</t>
        </is>
      </c>
      <c r="J4613" s="2">
        <f>HYPERLINK("https://app.astro.lead-studio.pro/product/ae468cb6-bfbf-4a5d-a653-652cb3007089")</f>
      </c>
    </row>
    <row r="4614" spans="1:10" customHeight="0">
      <c r="A4614" s="2" t="inlineStr">
        <is>
          <t>Системы хранения данных (СХД)</t>
        </is>
      </c>
      <c r="B4614" s="2" t="inlineStr">
        <is>
          <t>QNAP</t>
        </is>
      </c>
      <c r="C4614" s="2" t="inlineStr">
        <is>
          <t>TS-473A-8G</t>
        </is>
      </c>
      <c r="D4614" s="2" t="inlineStr">
        <is>
          <t>Сетевое хранилище NAS Qnap TS-473A-8G 4-bay настольный Ryzen V1500B</t>
        </is>
      </c>
      <c r="E4614" s="2" t="inlineStr">
        <is>
          <t>+ </t>
        </is>
      </c>
      <c r="F4614" s="2" t="inlineStr">
        <is>
          <t>+ </t>
        </is>
      </c>
      <c r="H4614" s="2">
        <v>2360</v>
      </c>
      <c r="I4614" s="2" t="inlineStr">
        <is>
          <t>$</t>
        </is>
      </c>
      <c r="J4614" s="2">
        <f>HYPERLINK("https://app.astro.lead-studio.pro/product/eb99a99b-c5b7-4738-b2af-6c3c19b535e2")</f>
      </c>
    </row>
    <row r="4615" spans="1:10" customHeight="0">
      <c r="A4615" s="2" t="inlineStr">
        <is>
          <t>Системы хранения данных (СХД)</t>
        </is>
      </c>
      <c r="B4615" s="2" t="inlineStr">
        <is>
          <t>QNAP</t>
        </is>
      </c>
      <c r="C4615" s="2" t="inlineStr">
        <is>
          <t>TS-632X-4G</t>
        </is>
      </c>
      <c r="D4615" s="2" t="inlineStr">
        <is>
          <t>Сетевое хранилище NAS Qnap TS-632X-4G 6-bay настольный Alpine AL-524</t>
        </is>
      </c>
      <c r="E4615" s="2" t="inlineStr">
        <is>
          <t>+ </t>
        </is>
      </c>
      <c r="F4615" s="2" t="inlineStr">
        <is>
          <t>+ </t>
        </is>
      </c>
      <c r="H4615" s="2">
        <v>2186</v>
      </c>
      <c r="I4615" s="2" t="inlineStr">
        <is>
          <t>$</t>
        </is>
      </c>
      <c r="J4615" s="2">
        <f>HYPERLINK("https://app.astro.lead-studio.pro/product/0a278a76-d007-4525-9ec0-5c0416c3368e")</f>
      </c>
    </row>
    <row r="4616" spans="1:10" customHeight="0">
      <c r="A4616" s="2" t="inlineStr">
        <is>
          <t>Системы хранения данных (СХД)</t>
        </is>
      </c>
      <c r="B4616" s="2" t="inlineStr">
        <is>
          <t>QNAP</t>
        </is>
      </c>
      <c r="C4616" s="2" t="inlineStr">
        <is>
          <t>TS-673A-8G</t>
        </is>
      </c>
      <c r="D4616" s="2" t="inlineStr">
        <is>
          <t>Сетевое хранилище NAS Qnap TS-673A-8G 6-bay настольный Ryzen V1500B</t>
        </is>
      </c>
      <c r="E4616" s="2" t="inlineStr">
        <is>
          <t>+ </t>
        </is>
      </c>
      <c r="F4616" s="2" t="inlineStr">
        <is>
          <t>+ </t>
        </is>
      </c>
      <c r="H4616" s="2">
        <v>2723</v>
      </c>
      <c r="I4616" s="2" t="inlineStr">
        <is>
          <t>$</t>
        </is>
      </c>
      <c r="J4616" s="2">
        <f>HYPERLINK("https://app.astro.lead-studio.pro/product/825520c3-1b8b-47bb-9ab4-f17cbc63fec2")</f>
      </c>
    </row>
    <row r="4617" spans="1:10" customHeight="0">
      <c r="A4617" s="2" t="inlineStr">
        <is>
          <t>Системы хранения данных (СХД)</t>
        </is>
      </c>
      <c r="B4617" s="2" t="inlineStr">
        <is>
          <t>QNAP</t>
        </is>
      </c>
      <c r="C4617" s="2" t="inlineStr">
        <is>
          <t>TS-832PX-4G</t>
        </is>
      </c>
      <c r="D4617" s="2" t="inlineStr">
        <is>
          <t>Сетевое хранилище NAS Qnap TS-832PX-4G 8-bay настольный Cortex-A57 AL-324</t>
        </is>
      </c>
      <c r="E4617" s="2" t="inlineStr">
        <is>
          <t>+ </t>
        </is>
      </c>
      <c r="F4617" s="2" t="inlineStr">
        <is>
          <t>+ </t>
        </is>
      </c>
      <c r="H4617" s="2">
        <v>2335</v>
      </c>
      <c r="I4617" s="2" t="inlineStr">
        <is>
          <t>$</t>
        </is>
      </c>
      <c r="J4617" s="2">
        <f>HYPERLINK("https://app.astro.lead-studio.pro/product/dd2eeedb-bec5-4696-ba13-9c4cbd751c76")</f>
      </c>
    </row>
    <row r="4618" spans="1:10" customHeight="0">
      <c r="A4618" s="2" t="inlineStr">
        <is>
          <t>Системы хранения данных (СХД)</t>
        </is>
      </c>
      <c r="B4618" s="2" t="inlineStr">
        <is>
          <t>QNAP</t>
        </is>
      </c>
      <c r="C4618" s="2" t="inlineStr">
        <is>
          <t>TS-832PXU-4G</t>
        </is>
      </c>
      <c r="D4618" s="2" t="inlineStr">
        <is>
          <t>Сетевое хранилище NAS Qnap TS-832PXU-4G 8-bay стоечный Cortex-A57 AL-324</t>
        </is>
      </c>
      <c r="E4618" s="2" t="inlineStr">
        <is>
          <t>+ </t>
        </is>
      </c>
      <c r="F4618" s="2" t="inlineStr">
        <is>
          <t>+ </t>
        </is>
      </c>
      <c r="H4618" s="2">
        <v>2886</v>
      </c>
      <c r="I4618" s="2" t="inlineStr">
        <is>
          <t>$</t>
        </is>
      </c>
      <c r="J4618" s="2">
        <f>HYPERLINK("https://app.astro.lead-studio.pro/product/3b804685-b3df-4b50-905b-32879daad4c2")</f>
      </c>
    </row>
    <row r="4619" spans="1:10" customHeight="0">
      <c r="A4619" s="2" t="inlineStr">
        <is>
          <t>Системы хранения данных (СХД)</t>
        </is>
      </c>
      <c r="B4619" s="2" t="inlineStr">
        <is>
          <t>QNAP</t>
        </is>
      </c>
      <c r="C4619" s="2" t="inlineStr">
        <is>
          <t>TS-832PXU-RP-4G</t>
        </is>
      </c>
      <c r="D4619" s="2" t="inlineStr">
        <is>
          <t>Сетевое хранилище NAS Qnap TS-832PXU-RP-4G 8-bay стоечный Cortex-A57 AL-324</t>
        </is>
      </c>
      <c r="E4619" s="2" t="inlineStr">
        <is>
          <t>+ </t>
        </is>
      </c>
      <c r="F4619" s="2" t="inlineStr">
        <is>
          <t>+ </t>
        </is>
      </c>
      <c r="H4619" s="2">
        <v>3655</v>
      </c>
      <c r="I4619" s="2" t="inlineStr">
        <is>
          <t>$</t>
        </is>
      </c>
      <c r="J4619" s="2">
        <f>HYPERLINK("https://app.astro.lead-studio.pro/product/073ad535-a50e-465f-ad7d-5324975bd3d1")</f>
      </c>
    </row>
    <row r="4620" spans="1:10" customHeight="0">
      <c r="A4620" s="2" t="inlineStr">
        <is>
          <t>Системы хранения данных (СХД)</t>
        </is>
      </c>
      <c r="B4620" s="2" t="inlineStr">
        <is>
          <t>QNAP</t>
        </is>
      </c>
      <c r="C4620" s="2" t="inlineStr">
        <is>
          <t>TS-873A-8G</t>
        </is>
      </c>
      <c r="D4620" s="2" t="inlineStr">
        <is>
          <t>Сетевое хранилище NAS Qnap TS-873A-8G 8-bay настольный Ryzen V1500B</t>
        </is>
      </c>
      <c r="E4620" s="2" t="inlineStr">
        <is>
          <t>+ </t>
        </is>
      </c>
      <c r="F4620" s="2" t="inlineStr">
        <is>
          <t>+ </t>
        </is>
      </c>
      <c r="H4620" s="2">
        <v>3228</v>
      </c>
      <c r="I4620" s="2" t="inlineStr">
        <is>
          <t>$</t>
        </is>
      </c>
      <c r="J4620" s="2">
        <f>HYPERLINK("https://app.astro.lead-studio.pro/product/dce4e2d4-0329-4f0d-8e02-c9fbf3557685")</f>
      </c>
    </row>
    <row r="4621" spans="1:10" customHeight="0">
      <c r="A4621" s="2" t="inlineStr">
        <is>
          <t>Системы хранения данных (СХД)</t>
        </is>
      </c>
      <c r="B4621" s="2" t="inlineStr">
        <is>
          <t>QNAP</t>
        </is>
      </c>
      <c r="C4621" s="2" t="inlineStr">
        <is>
          <t>TS-873AEU-4G</t>
        </is>
      </c>
      <c r="D4621" s="2" t="inlineStr">
        <is>
          <t>Сетевое хранилище NAS Qnap TS-873AEU-4G 8-bay стоечный Ryzen V1500B</t>
        </is>
      </c>
      <c r="E4621" s="2" t="inlineStr">
        <is>
          <t>+ </t>
        </is>
      </c>
      <c r="F4621" s="2" t="inlineStr">
        <is>
          <t>+ </t>
        </is>
      </c>
      <c r="H4621" s="2">
        <v>4590</v>
      </c>
      <c r="I4621" s="2" t="inlineStr">
        <is>
          <t>$</t>
        </is>
      </c>
      <c r="J4621" s="2">
        <f>HYPERLINK("https://app.astro.lead-studio.pro/product/4acc7eb0-23fe-4498-b2e4-98dffb8b440b")</f>
      </c>
    </row>
    <row r="4622" spans="1:10" customHeight="0">
      <c r="A4622" s="2" t="inlineStr">
        <is>
          <t>Системы хранения данных (СХД)</t>
        </is>
      </c>
      <c r="B4622" s="2" t="inlineStr">
        <is>
          <t>DIAMANT</t>
        </is>
      </c>
      <c r="C4622" s="2" t="inlineStr">
        <is>
          <t>D800.150.2L9.102</t>
        </is>
      </c>
      <c r="D4622" s="2" t="inlineStr">
        <is>
          <t>Ленточная библиотека Diamant HSS D800 2xLTO9 FC-FH (D800.150.2L9.102)</t>
        </is>
      </c>
      <c r="E4622" s="2" t="inlineStr">
        <is>
          <t>+ </t>
        </is>
      </c>
      <c r="F4622" s="2" t="inlineStr">
        <is>
          <t>+ </t>
        </is>
      </c>
      <c r="H4622" s="2">
        <v>128389</v>
      </c>
      <c r="I4622" s="2" t="inlineStr">
        <is>
          <t>$</t>
        </is>
      </c>
      <c r="J4622" s="2">
        <f>HYPERLINK("https://app.astro.lead-studio.pro/product/a105baae-c220-4375-a833-88442921cae5")</f>
      </c>
    </row>
    <row r="4623" spans="1:10" customHeight="0">
      <c r="A4623" s="2" t="inlineStr">
        <is>
          <t>Системы хранения данных (СХД)</t>
        </is>
      </c>
      <c r="B4623" s="2" t="inlineStr">
        <is>
          <t>DIAMANT</t>
        </is>
      </c>
      <c r="C4623" s="2" t="inlineStr">
        <is>
          <t>D800.150.6L8.001</t>
        </is>
      </c>
      <c r="D4623" s="2" t="inlineStr">
        <is>
          <t>Ленточная библиотека Diamant HSS D800 6xLTO8 (D800.150.6L8.001)</t>
        </is>
      </c>
      <c r="E4623" s="2" t="inlineStr">
        <is>
          <t>+ </t>
        </is>
      </c>
      <c r="F4623" s="2" t="inlineStr">
        <is>
          <t>+ </t>
        </is>
      </c>
      <c r="H4623" s="2">
        <v>187037</v>
      </c>
      <c r="I4623" s="2" t="inlineStr">
        <is>
          <t>$</t>
        </is>
      </c>
      <c r="J4623" s="2">
        <f>HYPERLINK("https://app.astro.lead-studio.pro/product/445a0569-7d24-47e8-b9bf-6f9d5932d870")</f>
      </c>
    </row>
    <row r="4624" spans="1:10" customHeight="0">
      <c r="A4624" s="2" t="inlineStr">
        <is>
          <t>Системы хранения данных (СХД)</t>
        </is>
      </c>
      <c r="B4624" s="2" t="inlineStr">
        <is>
          <t>DIAMANT</t>
        </is>
      </c>
      <c r="C4624" s="2" t="inlineStr">
        <is>
          <t>BXCBL-BWD2-001A</t>
        </is>
      </c>
      <c r="D4624" s="2" t="inlineStr">
        <is>
          <t>Ленточная библиотека Diamant Xcellis (BXCBL-BWD2-001A)</t>
        </is>
      </c>
      <c r="E4624" s="2" t="inlineStr">
        <is>
          <t>+ </t>
        </is>
      </c>
      <c r="F4624" s="2" t="inlineStr">
        <is>
          <t>+ </t>
        </is>
      </c>
      <c r="H4624" s="2">
        <v>57619</v>
      </c>
      <c r="I4624" s="2" t="inlineStr">
        <is>
          <t>$</t>
        </is>
      </c>
      <c r="J4624" s="2">
        <f>HYPERLINK("https://app.astro.lead-studio.pro/product/4aaee306-04bd-490c-8fa3-5738eb37505c")</f>
      </c>
    </row>
    <row r="4625" spans="1:10" customHeight="0">
      <c r="A4625" s="2" t="inlineStr">
        <is>
          <t>Системы хранения данных (СХД)</t>
        </is>
      </c>
      <c r="B4625" s="2" t="inlineStr">
        <is>
          <t>DIAMANT</t>
        </is>
      </c>
      <c r="C4625" s="2" t="inlineStr">
        <is>
          <t>D400.L8.01</t>
        </is>
      </c>
      <c r="D4625" s="2" t="inlineStr">
        <is>
          <t>Ленточный привод Diamant D400LTO8 FC-HH (D400.L8.01)</t>
        </is>
      </c>
      <c r="E4625" s="2" t="inlineStr">
        <is>
          <t>+ </t>
        </is>
      </c>
      <c r="F4625" s="2" t="inlineStr">
        <is>
          <t>+ </t>
        </is>
      </c>
      <c r="H4625" s="2">
        <v>14368</v>
      </c>
      <c r="I4625" s="2" t="inlineStr">
        <is>
          <t>$</t>
        </is>
      </c>
      <c r="J4625" s="2">
        <f>HYPERLINK("https://app.astro.lead-studio.pro/product/b187e6cb-ca7f-4ea5-9f73-283718bcbdd4")</f>
      </c>
    </row>
    <row r="4626" spans="1:10" customHeight="0">
      <c r="A4626" s="2" t="inlineStr">
        <is>
          <t>Системы хранения данных (СХД)</t>
        </is>
      </c>
      <c r="B4626" s="2" t="inlineStr">
        <is>
          <t>DIAMANT</t>
        </is>
      </c>
      <c r="C4626" s="2" t="inlineStr">
        <is>
          <t>BXCBH-ANGQ-210A</t>
        </is>
      </c>
      <c r="D4626" s="2" t="inlineStr">
        <is>
          <t>Адаптер Diamant Xcellis NIC Kit 25GbE/10GbE Dual-Port LP w/oSFP (BXCBH-ANGQ-210A)</t>
        </is>
      </c>
      <c r="E4626" s="2" t="inlineStr">
        <is>
          <t>+ </t>
        </is>
      </c>
      <c r="F4626" s="2" t="inlineStr">
        <is>
          <t>+ </t>
        </is>
      </c>
      <c r="H4626" s="2">
        <v>1723</v>
      </c>
      <c r="I4626" s="2" t="inlineStr">
        <is>
          <t>$</t>
        </is>
      </c>
      <c r="J4626" s="2">
        <f>HYPERLINK("https://app.astro.lead-studio.pro/product/497cc781-8ce8-4944-8eef-0310350facd1")</f>
      </c>
    </row>
    <row r="4627" spans="1:10" customHeight="0">
      <c r="A4627" s="2" t="inlineStr">
        <is>
          <t>Системы хранения данных (СХД)</t>
        </is>
      </c>
      <c r="B4627" s="2" t="inlineStr">
        <is>
          <t>DIAMANT</t>
        </is>
      </c>
      <c r="C4627" s="2" t="inlineStr">
        <is>
          <t>D400.APWR.001</t>
        </is>
      </c>
      <c r="D4627" s="2" t="inlineStr">
        <is>
          <t>Блок питания Diamant D400.APWR.001 80 Plus для TIL-400</t>
        </is>
      </c>
      <c r="E4627" s="2" t="inlineStr">
        <is>
          <t>+ </t>
        </is>
      </c>
      <c r="F4627" s="2" t="inlineStr">
        <is>
          <t>+ </t>
        </is>
      </c>
      <c r="H4627" s="2">
        <v>682</v>
      </c>
      <c r="I4627" s="2" t="inlineStr">
        <is>
          <t>$</t>
        </is>
      </c>
      <c r="J4627" s="2">
        <f>HYPERLINK("https://app.astro.lead-studio.pro/product/2e2cc372-95ce-4872-b1ce-8e79b2b00a37")</f>
      </c>
    </row>
    <row r="4628" spans="1:10" customHeight="0">
      <c r="A4628" s="2" t="inlineStr">
        <is>
          <t>Системы хранения данных (СХД)</t>
        </is>
      </c>
      <c r="B4628" s="2" t="inlineStr">
        <is>
          <t>DIAMANT</t>
        </is>
      </c>
      <c r="C4628" s="2" t="inlineStr">
        <is>
          <t>BXCBH-ACBB-210C</t>
        </is>
      </c>
      <c r="D4628" s="2" t="inlineStr">
        <is>
          <t>Кабель Diamant Xcellis for 25GbE/10GbE 2xCables Direct Attach 3m (BXCBH-ACBB-210C)</t>
        </is>
      </c>
      <c r="E4628" s="2" t="inlineStr">
        <is>
          <t>+ </t>
        </is>
      </c>
      <c r="F4628" s="2" t="inlineStr">
        <is>
          <t>+ </t>
        </is>
      </c>
      <c r="H4628" s="2">
        <v>1100</v>
      </c>
      <c r="I4628" s="2" t="inlineStr">
        <is>
          <t>$</t>
        </is>
      </c>
      <c r="J4628" s="2">
        <f>HYPERLINK("https://app.astro.lead-studio.pro/product/e1e43dde-2c14-40e7-9554-e4abaca1136b")</f>
      </c>
    </row>
    <row r="4629" spans="1:10" customHeight="0">
      <c r="A4629" s="2" t="inlineStr">
        <is>
          <t>Системы хранения данных (СХД)</t>
        </is>
      </c>
      <c r="B4629" s="2" t="inlineStr">
        <is>
          <t>DIAMANT</t>
        </is>
      </c>
      <c r="C4629" s="2" t="inlineStr">
        <is>
          <t>BXCBH-FFGA-416A</t>
        </is>
      </c>
      <c r="D4629" s="2" t="inlineStr">
        <is>
          <t>Модуль расширения Diamant Xcellis Full Height 8Gb Native Fibre Channel Dual Port (BXCBH-FFGA-416A)</t>
        </is>
      </c>
      <c r="E4629" s="2" t="inlineStr">
        <is>
          <t>+ </t>
        </is>
      </c>
      <c r="F4629" s="2" t="inlineStr">
        <is>
          <t>+ </t>
        </is>
      </c>
      <c r="H4629" s="2">
        <v>11502</v>
      </c>
      <c r="I4629" s="2" t="inlineStr">
        <is>
          <t>$</t>
        </is>
      </c>
      <c r="J4629" s="2">
        <f>HYPERLINK("https://app.astro.lead-studio.pro/product/de77f6b6-02f7-4bba-a8ec-874139369b46")</f>
      </c>
    </row>
    <row r="4630" spans="1:10" customHeight="0">
      <c r="A4630" s="2" t="inlineStr">
        <is>
          <t>Системы хранения данных (СХД)</t>
        </is>
      </c>
      <c r="B4630" s="2" t="inlineStr">
        <is>
          <t>INFORTREND</t>
        </is>
      </c>
      <c r="C4630" s="2" t="inlineStr">
        <is>
          <t>IT1030B2A11G0</t>
        </is>
      </c>
      <c r="D4630" s="2" t="inlineStr">
        <is>
          <t>Жесткий диск Infortrend THST10S3030-68311 Toshiba Enterprise SAS 3.0 12Gb/s 2.5" (IT1030B2A11G0)</t>
        </is>
      </c>
      <c r="E4630" s="2" t="inlineStr">
        <is>
          <t>+ </t>
        </is>
      </c>
      <c r="F4630" s="2" t="inlineStr">
        <is>
          <t>+ </t>
        </is>
      </c>
      <c r="H4630" s="2">
        <v>323</v>
      </c>
      <c r="I4630" s="2" t="inlineStr">
        <is>
          <t>$</t>
        </is>
      </c>
      <c r="J4630" s="2">
        <f>HYPERLINK("https://app.astro.lead-studio.pro/product/02ecf7ca-b985-4575-a5f4-acc58b2546fb")</f>
      </c>
    </row>
    <row r="4631" spans="1:10" customHeight="0">
      <c r="A4631" s="2" t="inlineStr">
        <is>
          <t>Системы хранения данных (СХД)</t>
        </is>
      </c>
      <c r="B4631" s="2" t="inlineStr">
        <is>
          <t>INFORTREND</t>
        </is>
      </c>
      <c r="C4631" s="2" t="inlineStr">
        <is>
          <t>3770B24-68BURN</t>
        </is>
      </c>
      <c r="D4631" s="2" t="inlineStr">
        <is>
          <t>Контроллер Infortrend 8BSC30G24F8MC-6810 4x1G iSCSI Ports 1xHost Board Slot with 2GB DDR-III for ESDS 3024GB (3770B24-68BURN)</t>
        </is>
      </c>
      <c r="E4631" s="2" t="inlineStr">
        <is>
          <t>+ </t>
        </is>
      </c>
      <c r="F4631" s="2" t="inlineStr">
        <is>
          <t>+ </t>
        </is>
      </c>
      <c r="H4631" s="2">
        <v>318</v>
      </c>
      <c r="I4631" s="2" t="inlineStr">
        <is>
          <t>$</t>
        </is>
      </c>
      <c r="J4631" s="2">
        <f>HYPERLINK("https://app.astro.lead-studio.pro/product/74e29868-c83d-4fd5-a13c-2434fa94cb0b")</f>
      </c>
    </row>
    <row r="4632" spans="1:10" customHeight="0">
      <c r="A4632" s="2" t="inlineStr">
        <is>
          <t>Системы хранения данных (СХД)</t>
        </is>
      </c>
      <c r="B4632" s="2" t="inlineStr">
        <is>
          <t>QNAP</t>
        </is>
      </c>
      <c r="C4632" s="2" t="inlineStr">
        <is>
          <t>RAIL-A02-90</t>
        </is>
      </c>
      <c r="D4632" s="2" t="inlineStr">
        <is>
          <t>Направляющие Qnap RAIL-A02-90</t>
        </is>
      </c>
      <c r="E4632" s="2" t="inlineStr">
        <is>
          <t>+ </t>
        </is>
      </c>
      <c r="F4632" s="2" t="inlineStr">
        <is>
          <t>+ </t>
        </is>
      </c>
      <c r="H4632" s="2">
        <v>478</v>
      </c>
      <c r="I4632" s="2" t="inlineStr">
        <is>
          <t>$</t>
        </is>
      </c>
      <c r="J4632" s="2">
        <f>HYPERLINK("https://app.astro.lead-studio.pro/product/e3ab399f-0abd-454e-83c7-5e9504f17684")</f>
      </c>
    </row>
    <row r="4633" spans="1:10" customHeight="0">
      <c r="A4633" s="2" t="inlineStr">
        <is>
          <t>Системы хранения данных (СХД)</t>
        </is>
      </c>
      <c r="B4633" s="2" t="inlineStr">
        <is>
          <t>INFORTREND</t>
        </is>
      </c>
      <c r="C4633" s="2" t="inlineStr">
        <is>
          <t>GSEP300800RPC-8U52</t>
        </is>
      </c>
      <c r="D4633" s="2" t="inlineStr">
        <is>
          <t>Система хранения Infortrend EonStor GSe Pro 3008RP-C x8 2.5 2x250W SOFT-CGEGS-0010 (GSEP300800RPC-8U52)</t>
        </is>
      </c>
      <c r="E4633" s="2" t="inlineStr">
        <is>
          <t>+ </t>
        </is>
      </c>
      <c r="F4633" s="2" t="inlineStr">
        <is>
          <t>+ </t>
        </is>
      </c>
      <c r="H4633" s="2">
        <v>3780</v>
      </c>
      <c r="I4633" s="2" t="inlineStr">
        <is>
          <t>$</t>
        </is>
      </c>
      <c r="J4633" s="2">
        <f>HYPERLINK("https://app.astro.lead-studio.pro/product/3d251352-dabf-490e-9db0-3c8ee14f4ced")</f>
      </c>
    </row>
    <row r="4634" spans="1:10" customHeight="0">
      <c r="A4634" s="2" t="inlineStr">
        <is>
          <t>Cетевое оборудование</t>
        </is>
      </c>
      <c r="B4634" s="2" t="inlineStr">
        <is>
          <t>B4COM</t>
        </is>
      </c>
      <c r="C4634" s="2" t="inlineStr">
        <is>
          <t>B4T-QSFP-100G-LR4-LC2</t>
        </is>
      </c>
      <c r="D4634" s="2" t="inlineStr">
        <is>
          <t>Модуль оптический B4Com B4T-QSFP-100G-LR4-LC2</t>
        </is>
      </c>
      <c r="E4634" s="2" t="inlineStr">
        <is>
          <t>+ </t>
        </is>
      </c>
      <c r="F4634" s="2" t="inlineStr">
        <is>
          <t>+ </t>
        </is>
      </c>
      <c r="H4634" s="2">
        <v>9108</v>
      </c>
      <c r="I4634" s="2" t="inlineStr">
        <is>
          <t>$</t>
        </is>
      </c>
      <c r="J4634" s="2">
        <f>HYPERLINK("https://app.astro.lead-studio.pro/product/61b605f8-eca3-4dbe-b0ec-215b49b97e62")</f>
      </c>
    </row>
    <row r="4635" spans="1:10" customHeight="0">
      <c r="A4635" s="2" t="inlineStr">
        <is>
          <t>Cетевое оборудование</t>
        </is>
      </c>
      <c r="B4635" s="2" t="inlineStr">
        <is>
          <t>FUTURE TECHNOLOGIES</t>
        </is>
      </c>
      <c r="C4635" s="2" t="inlineStr">
        <is>
          <t>FT-PROG-SFP/SFP+/SFP28/XFP/QS</t>
        </is>
      </c>
      <c r="D4635" s="2" t="inlineStr">
        <is>
          <t>Программатор Future Technologies FT-PROG-SFP/SFP+/SFP28/XFP/QS</t>
        </is>
      </c>
      <c r="E4635" s="2" t="inlineStr">
        <is>
          <t>+ </t>
        </is>
      </c>
      <c r="F4635" s="2" t="inlineStr">
        <is>
          <t>+ </t>
        </is>
      </c>
      <c r="H4635" s="2">
        <v>379</v>
      </c>
      <c r="I4635" s="2" t="inlineStr">
        <is>
          <t>$</t>
        </is>
      </c>
      <c r="J4635" s="2">
        <f>HYPERLINK("https://app.astro.lead-studio.pro/product/8f3ceaf0-c770-426a-aefc-ebe40da47d7c")</f>
      </c>
    </row>
    <row r="4636" spans="1:10" customHeight="0">
      <c r="A4636" s="2" t="inlineStr">
        <is>
          <t>Cетевое оборудование</t>
        </is>
      </c>
      <c r="B4636" s="2" t="inlineStr">
        <is>
          <t>OSNOVO</t>
        </is>
      </c>
      <c r="C4636" s="2" t="inlineStr">
        <is>
          <t>MIDSPAN-16/250RGM</t>
        </is>
      </c>
      <c r="D4636" s="2" t="inlineStr">
        <is>
          <t>Инжектор PoE Osnovo Midspan-16/250RGM</t>
        </is>
      </c>
      <c r="E4636" s="2" t="inlineStr">
        <is>
          <t>+ </t>
        </is>
      </c>
      <c r="F4636" s="2" t="inlineStr">
        <is>
          <t>+ </t>
        </is>
      </c>
      <c r="H4636" s="2">
        <v>380</v>
      </c>
      <c r="I4636" s="2" t="inlineStr">
        <is>
          <t>$</t>
        </is>
      </c>
      <c r="J4636" s="2">
        <f>HYPERLINK("https://app.astro.lead-studio.pro/product/ccce6f2e-c185-4cc8-9803-362c81f578c7")</f>
      </c>
    </row>
    <row r="4637" spans="1:10" customHeight="0">
      <c r="A4637" s="2" t="inlineStr">
        <is>
          <t>Cетевое оборудование</t>
        </is>
      </c>
      <c r="B4637" s="2" t="inlineStr">
        <is>
          <t>B4COM</t>
        </is>
      </c>
      <c r="C4637" s="2" t="inlineStr">
        <is>
          <t>B4T-QSFP-100G-AOC-10M</t>
        </is>
      </c>
      <c r="D4637" s="2" t="inlineStr">
        <is>
          <t>Кабель B4Com B4T-QSFP-100G-AOC-10M 100Гбит/с stranded 10м QSFP28-QSFP28 AOC</t>
        </is>
      </c>
      <c r="E4637" s="2" t="inlineStr">
        <is>
          <t>+ </t>
        </is>
      </c>
      <c r="F4637" s="2" t="inlineStr">
        <is>
          <t>+ </t>
        </is>
      </c>
      <c r="H4637" s="2">
        <v>3648</v>
      </c>
      <c r="I4637" s="2" t="inlineStr">
        <is>
          <t>$</t>
        </is>
      </c>
      <c r="J4637" s="2">
        <f>HYPERLINK("https://app.astro.lead-studio.pro/product/abd47e2a-3843-4408-bb3f-559c74a35fd7")</f>
      </c>
    </row>
    <row r="4638" spans="1:10" customHeight="0">
      <c r="A4638" s="2" t="inlineStr">
        <is>
          <t>Cетевое оборудование</t>
        </is>
      </c>
      <c r="B4638" s="2" t="inlineStr">
        <is>
          <t>B4COM</t>
        </is>
      </c>
      <c r="C4638" s="2" t="inlineStr">
        <is>
          <t>B4T-QSFP-4SFP25G-DAC-1M</t>
        </is>
      </c>
      <c r="D4638" s="2" t="inlineStr">
        <is>
          <t>Кабель B4Com B4T-QSFP-4SFP25G-DAC-1M stranded 1м QSFP28-4xSFP28 DAC</t>
        </is>
      </c>
      <c r="E4638" s="2" t="inlineStr">
        <is>
          <t>+ </t>
        </is>
      </c>
      <c r="F4638" s="2" t="inlineStr">
        <is>
          <t>+ </t>
        </is>
      </c>
      <c r="H4638" s="2">
        <v>1233</v>
      </c>
      <c r="I4638" s="2" t="inlineStr">
        <is>
          <t>$</t>
        </is>
      </c>
      <c r="J4638" s="2">
        <f>HYPERLINK("https://app.astro.lead-studio.pro/product/a0a6fce6-b6fc-4ed3-b419-41623f7c882f")</f>
      </c>
    </row>
    <row r="4639" spans="1:10" customHeight="0">
      <c r="A4639" s="2" t="inlineStr">
        <is>
          <t>Cетевое оборудование</t>
        </is>
      </c>
      <c r="B4639" s="2" t="inlineStr">
        <is>
          <t>B4COM</t>
        </is>
      </c>
      <c r="C4639" s="2" t="inlineStr">
        <is>
          <t>B4T-QSFP-4SFP25G-DAC-3M</t>
        </is>
      </c>
      <c r="D4639" s="2" t="inlineStr">
        <is>
          <t>Кабель B4Com B4T-QSFP-4SFP25G-DAC-3M stranded 3м QSFP28-4xSFP28 DAC</t>
        </is>
      </c>
      <c r="E4639" s="2" t="inlineStr">
        <is>
          <t>+ </t>
        </is>
      </c>
      <c r="F4639" s="2" t="inlineStr">
        <is>
          <t>+ </t>
        </is>
      </c>
      <c r="H4639" s="2">
        <v>1354</v>
      </c>
      <c r="I4639" s="2" t="inlineStr">
        <is>
          <t>$</t>
        </is>
      </c>
      <c r="J4639" s="2">
        <f>HYPERLINK("https://app.astro.lead-studio.pro/product/ebd57631-49a5-4460-b7fa-20995528cc70")</f>
      </c>
    </row>
    <row r="4640" spans="1:10" customHeight="0">
      <c r="A4640" s="2" t="inlineStr">
        <is>
          <t>Cетевое оборудование</t>
        </is>
      </c>
      <c r="B4640" s="2" t="inlineStr">
        <is>
          <t>B4COM</t>
        </is>
      </c>
      <c r="C4640" s="2" t="inlineStr">
        <is>
          <t>B4T-SFP10G-DAC-1M</t>
        </is>
      </c>
      <c r="D4640" s="2" t="inlineStr">
        <is>
          <t>Кабель B4Com B4T-SFP10G-DAC-1M 10Гбит/с stranded 1м SFP+-SFP+ DAC</t>
        </is>
      </c>
      <c r="E4640" s="2" t="inlineStr">
        <is>
          <t>+ </t>
        </is>
      </c>
      <c r="F4640" s="2" t="inlineStr">
        <is>
          <t>+ </t>
        </is>
      </c>
      <c r="H4640" s="2">
        <v>444</v>
      </c>
      <c r="I4640" s="2" t="inlineStr">
        <is>
          <t>$</t>
        </is>
      </c>
      <c r="J4640" s="2">
        <f>HYPERLINK("https://app.astro.lead-studio.pro/product/80cdb87c-0f02-45c8-920d-28cb3edd1ace")</f>
      </c>
    </row>
    <row r="4641" spans="1:10" customHeight="0">
      <c r="A4641" s="2" t="inlineStr">
        <is>
          <t>Cетевое оборудование</t>
        </is>
      </c>
      <c r="B4641" s="2" t="inlineStr">
        <is>
          <t>B4COM</t>
        </is>
      </c>
      <c r="C4641" s="2" t="inlineStr">
        <is>
          <t>B4T-SFP10G-DAC-3M</t>
        </is>
      </c>
      <c r="D4641" s="2" t="inlineStr">
        <is>
          <t>Кабель B4Com B4T-SFP10G-DAC-3M 10Гбит/с stranded 3м SFP+-SFP+ DAC</t>
        </is>
      </c>
      <c r="E4641" s="2" t="inlineStr">
        <is>
          <t>+ </t>
        </is>
      </c>
      <c r="F4641" s="2" t="inlineStr">
        <is>
          <t>+ </t>
        </is>
      </c>
      <c r="H4641" s="2">
        <v>627</v>
      </c>
      <c r="I4641" s="2" t="inlineStr">
        <is>
          <t>$</t>
        </is>
      </c>
      <c r="J4641" s="2">
        <f>HYPERLINK("https://app.astro.lead-studio.pro/product/045edb8c-3bbd-4f36-b944-f2af8349ce22")</f>
      </c>
    </row>
    <row r="4642" spans="1:10" customHeight="0">
      <c r="A4642" s="2" t="inlineStr">
        <is>
          <t>Cетевое оборудование</t>
        </is>
      </c>
      <c r="B4642" s="2" t="inlineStr">
        <is>
          <t>B4COM</t>
        </is>
      </c>
      <c r="C4642" s="2" t="inlineStr">
        <is>
          <t>B4T-SFP25G-DAC-2M</t>
        </is>
      </c>
      <c r="D4642" s="2" t="inlineStr">
        <is>
          <t>Кабель B4Com B4T-SFP25G-DAC-2M 25Гбит/с stranded 2м SFP28-SFP28 DAC</t>
        </is>
      </c>
      <c r="E4642" s="2" t="inlineStr">
        <is>
          <t>+ </t>
        </is>
      </c>
      <c r="F4642" s="2" t="inlineStr">
        <is>
          <t>+ </t>
        </is>
      </c>
      <c r="H4642" s="2">
        <v>1053</v>
      </c>
      <c r="I4642" s="2" t="inlineStr">
        <is>
          <t>$</t>
        </is>
      </c>
      <c r="J4642" s="2">
        <f>HYPERLINK("https://app.astro.lead-studio.pro/product/5680ba25-1bb8-4172-8f39-2646f6ee2da3")</f>
      </c>
    </row>
    <row r="4643" spans="1:10" customHeight="0">
      <c r="A4643" s="2" t="inlineStr">
        <is>
          <t>Cетевое оборудование</t>
        </is>
      </c>
      <c r="B4643" s="2" t="inlineStr">
        <is>
          <t>FUTURE TECHNOLOGIES</t>
        </is>
      </c>
      <c r="C4643" s="2" t="inlineStr">
        <is>
          <t>FT-QSFP28-CABA-5</t>
        </is>
      </c>
      <c r="D4643" s="2" t="inlineStr">
        <is>
          <t>Кабель AOC Future Technologies 5м QSFP28-QSFP28 (FT-QSFP28-CABA-5)</t>
        </is>
      </c>
      <c r="E4643" s="2" t="inlineStr">
        <is>
          <t>+ </t>
        </is>
      </c>
      <c r="F4643" s="2" t="inlineStr">
        <is>
          <t>+ </t>
        </is>
      </c>
      <c r="H4643" s="2">
        <v>431</v>
      </c>
      <c r="I4643" s="2" t="inlineStr">
        <is>
          <t>$</t>
        </is>
      </c>
      <c r="J4643" s="2">
        <f>HYPERLINK("https://app.astro.lead-studio.pro/product/8e3432be-4c72-4e4c-9b97-47b7a0a1f3d2")</f>
      </c>
    </row>
    <row r="4644" spans="1:10" customHeight="0">
      <c r="A4644" s="2" t="inlineStr">
        <is>
          <t>Cетевое оборудование</t>
        </is>
      </c>
      <c r="B4644" s="2" t="inlineStr">
        <is>
          <t>FUTURE TECHNOLOGIES</t>
        </is>
      </c>
      <c r="C4644" s="2" t="inlineStr">
        <is>
          <t>FT-SFP28-CABA-5</t>
        </is>
      </c>
      <c r="D4644" s="2" t="inlineStr">
        <is>
          <t>Кабель AOC Future Technologies 5м SFP28-SFP28 (FT-SFP28-CABA-5)</t>
        </is>
      </c>
      <c r="E4644" s="2" t="inlineStr">
        <is>
          <t>+ </t>
        </is>
      </c>
      <c r="F4644" s="2" t="inlineStr">
        <is>
          <t>+ </t>
        </is>
      </c>
      <c r="H4644" s="2">
        <v>342</v>
      </c>
      <c r="I4644" s="2" t="inlineStr">
        <is>
          <t>$</t>
        </is>
      </c>
      <c r="J4644" s="2">
        <f>HYPERLINK("https://app.astro.lead-studio.pro/product/76c5eadd-9e35-4808-8881-104f7f65c60e")</f>
      </c>
    </row>
    <row r="4645" spans="1:10" customHeight="0">
      <c r="A4645" s="2" t="inlineStr">
        <is>
          <t>Cетевое оборудование</t>
        </is>
      </c>
      <c r="B4645" s="2" t="inlineStr">
        <is>
          <t>FUTURE TECHNOLOGIES</t>
        </is>
      </c>
      <c r="C4645" s="2" t="inlineStr">
        <is>
          <t>FT-QSFP28-CABA-1</t>
        </is>
      </c>
      <c r="D4645" s="2" t="inlineStr">
        <is>
          <t>Кабель AOC Future Technologies FT-QSFP28-CabA-1 100Гбит/с 1м QSFP28-QSFP28</t>
        </is>
      </c>
      <c r="E4645" s="2" t="inlineStr">
        <is>
          <t>+ </t>
        </is>
      </c>
      <c r="F4645" s="2" t="inlineStr">
        <is>
          <t>+ </t>
        </is>
      </c>
      <c r="H4645" s="2">
        <v>318</v>
      </c>
      <c r="I4645" s="2" t="inlineStr">
        <is>
          <t>$</t>
        </is>
      </c>
      <c r="J4645" s="2">
        <f>HYPERLINK("https://app.astro.lead-studio.pro/product/39657650-17e1-4125-b156-119c98bbf3e2")</f>
      </c>
    </row>
    <row r="4646" spans="1:10" customHeight="0">
      <c r="A4646" s="2" t="inlineStr">
        <is>
          <t>Cетевое оборудование</t>
        </is>
      </c>
      <c r="B4646" s="2" t="inlineStr">
        <is>
          <t>FUTURE TECHNOLOGIES</t>
        </is>
      </c>
      <c r="C4646" s="2" t="inlineStr">
        <is>
          <t>FT-QSFP28-CABA-10</t>
        </is>
      </c>
      <c r="D4646" s="2" t="inlineStr">
        <is>
          <t>Кабель AOC Future Technologies FT-QSFP28-CabA-10 100Гбит/с stranded 10м QSFP28-QSFP28</t>
        </is>
      </c>
      <c r="E4646" s="2" t="inlineStr">
        <is>
          <t>++ </t>
        </is>
      </c>
      <c r="F4646" s="2" t="inlineStr">
        <is>
          <t>++ </t>
        </is>
      </c>
      <c r="H4646" s="2">
        <v>346</v>
      </c>
      <c r="I4646" s="2" t="inlineStr">
        <is>
          <t>$</t>
        </is>
      </c>
      <c r="J4646" s="2">
        <f>HYPERLINK("https://app.astro.lead-studio.pro/product/4b220220-a0ea-4517-b74d-bc1c1040e7a8")</f>
      </c>
    </row>
    <row r="4647" spans="1:10" customHeight="0">
      <c r="A4647" s="2" t="inlineStr">
        <is>
          <t>Cетевое оборудование</t>
        </is>
      </c>
      <c r="B4647" s="2" t="inlineStr">
        <is>
          <t>FUTURE TECHNOLOGIES</t>
        </is>
      </c>
      <c r="C4647" s="2" t="inlineStr">
        <is>
          <t>FT-QSFP28-CABA-3</t>
        </is>
      </c>
      <c r="D4647" s="2" t="inlineStr">
        <is>
          <t>Кабель AOC Future Technologies FT-QSFP28-CabA-3 100Гбит/с stranded 3м QSFP28-QSFP28</t>
        </is>
      </c>
      <c r="E4647" s="2" t="inlineStr">
        <is>
          <t>+ </t>
        </is>
      </c>
      <c r="F4647" s="2" t="inlineStr">
        <is>
          <t>+ </t>
        </is>
      </c>
      <c r="H4647" s="2">
        <v>326</v>
      </c>
      <c r="I4647" s="2" t="inlineStr">
        <is>
          <t>$</t>
        </is>
      </c>
      <c r="J4647" s="2">
        <f>HYPERLINK("https://app.astro.lead-studio.pro/product/82d7d325-9bcd-47af-80f8-d459f34932f3")</f>
      </c>
    </row>
    <row r="4648" spans="1:10" customHeight="0">
      <c r="A4648" s="2" t="inlineStr">
        <is>
          <t>Cетевое оборудование</t>
        </is>
      </c>
      <c r="B4648" s="2" t="inlineStr">
        <is>
          <t>B4COM</t>
        </is>
      </c>
      <c r="C4648" s="2" t="inlineStr">
        <is>
          <t>B4T-CS4148D-6U-AC-F-SW</t>
        </is>
      </c>
      <c r="D4648" s="2" t="inlineStr">
        <is>
          <t>Коммутатор B4Com CS4148D-6U B4T-CS4148D-6U-AC-F-SW (L3) 48SFP+ 6xQSFP28 управляемый 6x100GbE QSFP28</t>
        </is>
      </c>
      <c r="E4648" s="2" t="inlineStr">
        <is>
          <t>+ </t>
        </is>
      </c>
      <c r="F4648" s="2" t="inlineStr">
        <is>
          <t>+ </t>
        </is>
      </c>
      <c r="H4648" s="2">
        <v>8794</v>
      </c>
      <c r="I4648" s="2" t="inlineStr">
        <is>
          <t>$</t>
        </is>
      </c>
      <c r="J4648" s="2">
        <f>HYPERLINK("https://app.astro.lead-studio.pro/product/d996f85f-3aa4-455f-8aaf-9f0490113cb7")</f>
      </c>
    </row>
    <row r="4649" spans="1:10" customHeight="0">
      <c r="A4649" s="2" t="inlineStr">
        <is>
          <t>Cетевое оборудование</t>
        </is>
      </c>
      <c r="B4649" s="2" t="inlineStr">
        <is>
          <t>B4COM</t>
        </is>
      </c>
      <c r="C4649" s="2" t="inlineStr">
        <is>
          <t>B4T-CS4148Q-8U-AC-B-SW</t>
        </is>
      </c>
      <c r="D4649" s="2" t="inlineStr">
        <is>
          <t>Коммутатор B4Com CS4148Q-8U B4T-CS4148Q-8U-AC-B-SW (L3) 48xSFP28 8xQSFP28 48x25GbE SFP28/8x100GbE QSFP28</t>
        </is>
      </c>
      <c r="E4649" s="2" t="inlineStr">
        <is>
          <t>+ </t>
        </is>
      </c>
      <c r="F4649" s="2" t="inlineStr">
        <is>
          <t>+ </t>
        </is>
      </c>
      <c r="H4649" s="2">
        <v>121696</v>
      </c>
      <c r="I4649" s="2" t="inlineStr">
        <is>
          <t>$</t>
        </is>
      </c>
      <c r="J4649" s="2">
        <f>HYPERLINK("https://app.astro.lead-studio.pro/product/6d553d8a-c2fd-46f2-a6d1-2ebc8e109515")</f>
      </c>
    </row>
    <row r="4650" spans="1:10" customHeight="0">
      <c r="A4650" s="2" t="inlineStr">
        <is>
          <t>Cетевое оборудование</t>
        </is>
      </c>
      <c r="B4650" s="2" t="inlineStr">
        <is>
          <t>CUDY</t>
        </is>
      </c>
      <c r="C4650" s="2" t="inlineStr">
        <is>
          <t>GS2028PS4-300W</t>
        </is>
      </c>
      <c r="D4650" s="2" t="inlineStr">
        <is>
          <t>Коммутатор Cudy GS2028PS4-300W (L2) 28x1Гбит/с 4SFP 24PoE+ 300W управляемый</t>
        </is>
      </c>
      <c r="E4650" s="2" t="inlineStr">
        <is>
          <t>+ </t>
        </is>
      </c>
      <c r="F4650" s="2" t="inlineStr">
        <is>
          <t>+ </t>
        </is>
      </c>
      <c r="H4650" s="2">
        <v>339</v>
      </c>
      <c r="I4650" s="2" t="inlineStr">
        <is>
          <t>$</t>
        </is>
      </c>
      <c r="J4650" s="2">
        <f>HYPERLINK("https://app.astro.lead-studio.pro/product/6b06e9f7-3176-4c93-944a-f949b4d3c77b")</f>
      </c>
    </row>
    <row r="4651" spans="1:10" customHeight="0">
      <c r="A4651" s="2" t="inlineStr">
        <is>
          <t>Cетевое оборудование</t>
        </is>
      </c>
      <c r="B4651" s="2" t="inlineStr">
        <is>
          <t>CUDY</t>
        </is>
      </c>
      <c r="C4651" s="2" t="inlineStr">
        <is>
          <t>GS2028PS4-400W</t>
        </is>
      </c>
      <c r="D4651" s="2" t="inlineStr">
        <is>
          <t>Коммутатор Cudy GS2028PS4-400W (L2) 28x1Гбит/с 4xКомбо(1000BASE-T/SFP) 24PoE 400W управляемый</t>
        </is>
      </c>
      <c r="E4651" s="2" t="inlineStr">
        <is>
          <t>+ </t>
        </is>
      </c>
      <c r="F4651" s="2" t="inlineStr">
        <is>
          <t>+ </t>
        </is>
      </c>
      <c r="H4651" s="2">
        <v>373</v>
      </c>
      <c r="I4651" s="2" t="inlineStr">
        <is>
          <t>$</t>
        </is>
      </c>
      <c r="J4651" s="2">
        <f>HYPERLINK("https://app.astro.lead-studio.pro/product/2e2a056a-b6ce-4eab-b8cc-ecd374242aff")</f>
      </c>
    </row>
    <row r="4652" spans="1:10" customHeight="0">
      <c r="A4652" s="2" t="inlineStr">
        <is>
          <t>Cетевое оборудование</t>
        </is>
      </c>
      <c r="B4652" s="2" t="inlineStr">
        <is>
          <t>CUDY</t>
        </is>
      </c>
      <c r="C4652" s="2" t="inlineStr">
        <is>
          <t>GS5024PS4-400W</t>
        </is>
      </c>
      <c r="D4652" s="2" t="inlineStr">
        <is>
          <t>Коммутатор Cudy GS5024PS4-400W (L3) 24x1Гбит/с 4SFP+ 24PoE+ 400W управляемый</t>
        </is>
      </c>
      <c r="E4652" s="2" t="inlineStr">
        <is>
          <t>+ </t>
        </is>
      </c>
      <c r="F4652" s="2" t="inlineStr">
        <is>
          <t>+ </t>
        </is>
      </c>
      <c r="H4652" s="2">
        <v>627</v>
      </c>
      <c r="I4652" s="2" t="inlineStr">
        <is>
          <t>$</t>
        </is>
      </c>
      <c r="J4652" s="2">
        <f>HYPERLINK("https://app.astro.lead-studio.pro/product/e7cfc8f1-cc84-4ff0-8bf4-a0a604400142")</f>
      </c>
    </row>
    <row r="4653" spans="1:10" customHeight="0">
      <c r="A4653" s="2" t="inlineStr">
        <is>
          <t>Cетевое оборудование</t>
        </is>
      </c>
      <c r="B4653" s="2" t="inlineStr">
        <is>
          <t>CUDY</t>
        </is>
      </c>
      <c r="C4653" s="2" t="inlineStr">
        <is>
          <t>GS5024S4</t>
        </is>
      </c>
      <c r="D4653" s="2" t="inlineStr">
        <is>
          <t>Коммутатор Cudy GS5024S4 (L3) 24x1Гбит/с 4SFP+ управляемый</t>
        </is>
      </c>
      <c r="E4653" s="2" t="inlineStr">
        <is>
          <t>+ </t>
        </is>
      </c>
      <c r="F4653" s="2" t="inlineStr">
        <is>
          <t>+ </t>
        </is>
      </c>
      <c r="H4653" s="2">
        <v>332</v>
      </c>
      <c r="I4653" s="2" t="inlineStr">
        <is>
          <t>$</t>
        </is>
      </c>
      <c r="J4653" s="2">
        <f>HYPERLINK("https://app.astro.lead-studio.pro/product/31bca214-b768-4865-b756-6e5c4aa0070f")</f>
      </c>
    </row>
    <row r="4654" spans="1:10" customHeight="0">
      <c r="A4654" s="2" t="inlineStr">
        <is>
          <t>Cетевое оборудование</t>
        </is>
      </c>
      <c r="B4654" s="2" t="inlineStr">
        <is>
          <t>CUDY</t>
        </is>
      </c>
      <c r="C4654" s="2" t="inlineStr">
        <is>
          <t>GS5048S4</t>
        </is>
      </c>
      <c r="D4654" s="2" t="inlineStr">
        <is>
          <t>Коммутатор Cudy GS5048S4 (L3) 48x1Гбит/с 4SFP+ управляемый</t>
        </is>
      </c>
      <c r="E4654" s="2" t="inlineStr">
        <is>
          <t>+ </t>
        </is>
      </c>
      <c r="F4654" s="2" t="inlineStr">
        <is>
          <t>+ </t>
        </is>
      </c>
      <c r="H4654" s="2">
        <v>554</v>
      </c>
      <c r="I4654" s="2" t="inlineStr">
        <is>
          <t>$</t>
        </is>
      </c>
      <c r="J4654" s="2">
        <f>HYPERLINK("https://app.astro.lead-studio.pro/product/c9004ea9-8787-4807-b1e2-8a8c06e41787")</f>
      </c>
    </row>
    <row r="4655" spans="1:10" customHeight="0">
      <c r="A4655" s="2" t="inlineStr">
        <is>
          <t>Cетевое оборудование</t>
        </is>
      </c>
      <c r="B4655" s="2" t="inlineStr">
        <is>
          <t>D-LINK</t>
        </is>
      </c>
      <c r="C4655" s="2" t="inlineStr">
        <is>
          <t>DAS-3216/RU</t>
        </is>
      </c>
      <c r="D4655" s="2" t="inlineStr">
        <is>
          <t>Коммутатор D-Link DAS-3216/RU 2x1Гбит/с управляемый</t>
        </is>
      </c>
      <c r="E4655" s="2" t="inlineStr">
        <is>
          <t>+ </t>
        </is>
      </c>
      <c r="F4655" s="2" t="inlineStr">
        <is>
          <t>+ </t>
        </is>
      </c>
      <c r="H4655" s="2">
        <v>433</v>
      </c>
      <c r="I4655" s="2" t="inlineStr">
        <is>
          <t>$</t>
        </is>
      </c>
      <c r="J4655" s="2">
        <f>HYPERLINK("https://app.astro.lead-studio.pro/product/3ed4617d-0e37-4186-a1f9-f3cc288eac06")</f>
      </c>
    </row>
    <row r="4656" spans="1:10" customHeight="0">
      <c r="A4656" s="2" t="inlineStr">
        <is>
          <t>Cетевое оборудование</t>
        </is>
      </c>
      <c r="B4656" s="2" t="inlineStr">
        <is>
          <t>D-LINK</t>
        </is>
      </c>
      <c r="C4656" s="2" t="inlineStr">
        <is>
          <t>DAS-3626/A1A</t>
        </is>
      </c>
      <c r="D4656" s="2" t="inlineStr">
        <is>
          <t>Коммутатор D-Link DAS-3626/A1A 2x1Гбит/с 2xКомбо(1000BASE-T/SFP)</t>
        </is>
      </c>
      <c r="E4656" s="2" t="inlineStr">
        <is>
          <t>+ </t>
        </is>
      </c>
      <c r="F4656" s="2" t="inlineStr">
        <is>
          <t>+ </t>
        </is>
      </c>
      <c r="H4656" s="2">
        <v>1282</v>
      </c>
      <c r="I4656" s="2" t="inlineStr">
        <is>
          <t>$</t>
        </is>
      </c>
      <c r="J4656" s="2">
        <f>HYPERLINK("https://app.astro.lead-studio.pro/product/3acd0d69-2abc-404c-97a7-27532f9fedd0")</f>
      </c>
    </row>
    <row r="4657" spans="1:10" customHeight="0">
      <c r="A4657" s="2" t="inlineStr">
        <is>
          <t>Cетевое оборудование</t>
        </is>
      </c>
      <c r="B4657" s="2" t="inlineStr">
        <is>
          <t>D-LINK</t>
        </is>
      </c>
      <c r="C4657" s="2" t="inlineStr">
        <is>
          <t>DGS-1100-26MPPV2/A3A</t>
        </is>
      </c>
      <c r="D4657" s="2" t="inlineStr">
        <is>
          <t>Коммутатор D-Link DGS-1100-26MPPV2/A3A (L2) 24x1Гбит/с 2xКомбо(1000BASE-T/SFP) 2SFP 24PoE 90W управляемый</t>
        </is>
      </c>
      <c r="E4657" s="2" t="inlineStr">
        <is>
          <t>+ </t>
        </is>
      </c>
      <c r="F4657" s="2" t="inlineStr">
        <is>
          <t>+ </t>
        </is>
      </c>
      <c r="H4657" s="2">
        <v>444</v>
      </c>
      <c r="I4657" s="2" t="inlineStr">
        <is>
          <t>$</t>
        </is>
      </c>
      <c r="J4657" s="2">
        <f>HYPERLINK("https://app.astro.lead-studio.pro/product/1be9768c-f81a-44f2-b7b5-c05b97ab652a")</f>
      </c>
    </row>
    <row r="4658" spans="1:10" customHeight="0">
      <c r="A4658" s="2" t="inlineStr">
        <is>
          <t>Cетевое оборудование</t>
        </is>
      </c>
      <c r="B4658" s="2" t="inlineStr">
        <is>
          <t>D-LINK</t>
        </is>
      </c>
      <c r="C4658" s="2" t="inlineStr">
        <is>
          <t>DGS-1210-10P/ME/B1A</t>
        </is>
      </c>
      <c r="D4658" s="2" t="inlineStr">
        <is>
          <t>Коммутатор D-Link DGS-1210-10P/ME/B1A 8x1Гбит/с 2SFP 8PoE управляемый</t>
        </is>
      </c>
      <c r="E4658" s="2" t="inlineStr">
        <is>
          <t>+ </t>
        </is>
      </c>
      <c r="F4658" s="2" t="inlineStr">
        <is>
          <t>+ </t>
        </is>
      </c>
      <c r="H4658" s="2">
        <v>332</v>
      </c>
      <c r="I4658" s="2" t="inlineStr">
        <is>
          <t>$</t>
        </is>
      </c>
      <c r="J4658" s="2">
        <f>HYPERLINK("https://app.astro.lead-studio.pro/product/a31f19c4-45db-4439-813c-87c0f7b6eff7")</f>
      </c>
    </row>
    <row r="4659" spans="1:10" customHeight="0">
      <c r="A4659" s="2" t="inlineStr">
        <is>
          <t>Cетевое оборудование</t>
        </is>
      </c>
      <c r="B4659" s="2" t="inlineStr">
        <is>
          <t>D-LINK</t>
        </is>
      </c>
      <c r="C4659" s="2" t="inlineStr">
        <is>
          <t>DGS-1210-28MP/F</t>
        </is>
      </c>
      <c r="D4659" s="2" t="inlineStr">
        <is>
          <t>Коммутатор D-Link DGS-1210-28MP DGS-1210-28MP/F 24x1Гбит/с 4xКомбо(1000BASE-T/SFP) 24PoE+ 370W настраиваемый</t>
        </is>
      </c>
      <c r="E4659" s="2" t="inlineStr">
        <is>
          <t>+ </t>
        </is>
      </c>
      <c r="F4659" s="2" t="inlineStr">
        <is>
          <t>+ </t>
        </is>
      </c>
      <c r="H4659" s="2">
        <v>521</v>
      </c>
      <c r="I4659" s="2" t="inlineStr">
        <is>
          <t>$</t>
        </is>
      </c>
      <c r="J4659" s="2">
        <f>HYPERLINK("https://app.astro.lead-studio.pro/product/ac717933-93ec-445a-bcd6-c21873f93fc7")</f>
      </c>
    </row>
    <row r="4660" spans="1:10" customHeight="0">
      <c r="A4660" s="2" t="inlineStr">
        <is>
          <t>Cетевое оборудование</t>
        </is>
      </c>
      <c r="B4660" s="2" t="inlineStr">
        <is>
          <t>D-LINK</t>
        </is>
      </c>
      <c r="C4660" s="2" t="inlineStr">
        <is>
          <t>DGS-1210-28P/F</t>
        </is>
      </c>
      <c r="D4660" s="2" t="inlineStr">
        <is>
          <t>Коммутатор D-Link DGS-1210-28P/F 24x1Гбит/с 4xКомбо(1000BASE-T/SFP) 24PoE 193W управляемый</t>
        </is>
      </c>
      <c r="E4660" s="2" t="inlineStr">
        <is>
          <t>+ </t>
        </is>
      </c>
      <c r="F4660" s="2" t="inlineStr">
        <is>
          <t>+ </t>
        </is>
      </c>
      <c r="H4660" s="2">
        <v>434</v>
      </c>
      <c r="I4660" s="2" t="inlineStr">
        <is>
          <t>$</t>
        </is>
      </c>
      <c r="J4660" s="2">
        <f>HYPERLINK("https://app.astro.lead-studio.pro/product/bfcf17fa-5658-46d8-815e-036dde989753")</f>
      </c>
    </row>
    <row r="4661" spans="1:10" customHeight="0">
      <c r="A4661" s="2" t="inlineStr">
        <is>
          <t>Cетевое оборудование</t>
        </is>
      </c>
      <c r="B4661" s="2" t="inlineStr">
        <is>
          <t>D-LINK</t>
        </is>
      </c>
      <c r="C4661" s="2" t="inlineStr">
        <is>
          <t>DGS-1210-28X/ME/B</t>
        </is>
      </c>
      <c r="D4661" s="2" t="inlineStr">
        <is>
          <t>Коммутатор D-Link DGS-1210-28X/ME/B 24x1Гбит/с 4SFP+ управляемый</t>
        </is>
      </c>
      <c r="E4661" s="2" t="inlineStr">
        <is>
          <t>+ </t>
        </is>
      </c>
      <c r="F4661" s="2" t="inlineStr">
        <is>
          <t>+ </t>
        </is>
      </c>
      <c r="H4661" s="2">
        <v>359</v>
      </c>
      <c r="I4661" s="2" t="inlineStr">
        <is>
          <t>$</t>
        </is>
      </c>
      <c r="J4661" s="2">
        <f>HYPERLINK("https://app.astro.lead-studio.pro/product/8aee234d-aef7-442d-b1d3-329573c1f84f")</f>
      </c>
    </row>
    <row r="4662" spans="1:10" customHeight="0">
      <c r="A4662" s="2" t="inlineStr">
        <is>
          <t>Cетевое оборудование</t>
        </is>
      </c>
      <c r="B4662" s="2" t="inlineStr">
        <is>
          <t>D-LINK</t>
        </is>
      </c>
      <c r="C4662" s="2" t="inlineStr">
        <is>
          <t>DGS-1210-52MP/F</t>
        </is>
      </c>
      <c r="D4662" s="2" t="inlineStr">
        <is>
          <t>Коммутатор D-Link DGS-1210-52MP/F (L2) 48x1Гбит/с 4xКомбо(1000BASE-T/SFP) 4SFP 48PoE 370W настраиваемый</t>
        </is>
      </c>
      <c r="E4662" s="2" t="inlineStr">
        <is>
          <t>+ </t>
        </is>
      </c>
      <c r="F4662" s="2" t="inlineStr">
        <is>
          <t>+ </t>
        </is>
      </c>
      <c r="H4662" s="2">
        <v>814</v>
      </c>
      <c r="I4662" s="2" t="inlineStr">
        <is>
          <t>$</t>
        </is>
      </c>
      <c r="J4662" s="2">
        <f>HYPERLINK("https://app.astro.lead-studio.pro/product/39ddd877-fb92-43f6-a7f1-def58e1ea038")</f>
      </c>
    </row>
    <row r="4663" spans="1:10" customHeight="0">
      <c r="A4663" s="2" t="inlineStr">
        <is>
          <t>Cетевое оборудование</t>
        </is>
      </c>
      <c r="B4663" s="2" t="inlineStr">
        <is>
          <t>D-LINK</t>
        </is>
      </c>
      <c r="C4663" s="2" t="inlineStr">
        <is>
          <t>DGS-1210-52MPP/E2A</t>
        </is>
      </c>
      <c r="D4663" s="2" t="inlineStr">
        <is>
          <t>Коммутатор D-Link DGS-1210-52MPP/E2A (L2) 48x1Гбит/с 4SFP 48PoE 740W управляемый</t>
        </is>
      </c>
      <c r="E4663" s="2" t="inlineStr">
        <is>
          <t>+ </t>
        </is>
      </c>
      <c r="F4663" s="2" t="inlineStr">
        <is>
          <t>+ </t>
        </is>
      </c>
      <c r="H4663" s="2">
        <v>987</v>
      </c>
      <c r="I4663" s="2" t="inlineStr">
        <is>
          <t>$</t>
        </is>
      </c>
      <c r="J4663" s="2">
        <f>HYPERLINK("https://app.astro.lead-studio.pro/product/6b012e4c-4822-4c02-b0e1-c3ac56e2bff7")</f>
      </c>
    </row>
    <row r="4664" spans="1:10" customHeight="0">
      <c r="A4664" s="2" t="inlineStr">
        <is>
          <t>Cетевое оборудование</t>
        </is>
      </c>
      <c r="B4664" s="2" t="inlineStr">
        <is>
          <t>D-LINK</t>
        </is>
      </c>
      <c r="C4664" s="2" t="inlineStr">
        <is>
          <t>DGS-1210-52MPP/ME/B</t>
        </is>
      </c>
      <c r="D4664" s="2" t="inlineStr">
        <is>
          <t>Коммутатор D-Link DGS-1210-52MPP/ME/B (L2) 48x1Гбит/с 4SFP 48PoE 740W управляемый</t>
        </is>
      </c>
      <c r="E4664" s="2" t="inlineStr">
        <is>
          <t>+ </t>
        </is>
      </c>
      <c r="F4664" s="2" t="inlineStr">
        <is>
          <t>+ </t>
        </is>
      </c>
      <c r="H4664" s="2">
        <v>1326</v>
      </c>
      <c r="I4664" s="2" t="inlineStr">
        <is>
          <t>$</t>
        </is>
      </c>
      <c r="J4664" s="2">
        <f>HYPERLINK("https://app.astro.lead-studio.pro/product/22d46e9b-25b9-4d49-8255-84762d428e65")</f>
      </c>
    </row>
    <row r="4665" spans="1:10" customHeight="0">
      <c r="A4665" s="2" t="inlineStr">
        <is>
          <t>Cетевое оборудование</t>
        </is>
      </c>
      <c r="B4665" s="2" t="inlineStr">
        <is>
          <t>D-LINK</t>
        </is>
      </c>
      <c r="C4665" s="2" t="inlineStr">
        <is>
          <t>DGS-1210-52P/ME/B1A</t>
        </is>
      </c>
      <c r="D4665" s="2" t="inlineStr">
        <is>
          <t>Коммутатор D-Link DGS-1210-52P/ME DGS-1210-52P/ME/B1A 48x1Гбит/с 4SFP 24PoE 193W управляемый</t>
        </is>
      </c>
      <c r="E4665" s="2" t="inlineStr">
        <is>
          <t>+ </t>
        </is>
      </c>
      <c r="F4665" s="2" t="inlineStr">
        <is>
          <t>+ </t>
        </is>
      </c>
      <c r="H4665" s="2">
        <v>1054</v>
      </c>
      <c r="I4665" s="2" t="inlineStr">
        <is>
          <t>$</t>
        </is>
      </c>
      <c r="J4665" s="2">
        <f>HYPERLINK("https://app.astro.lead-studio.pro/product/74a56a5c-0a0f-40a9-ad27-1c053b073152")</f>
      </c>
    </row>
    <row r="4666" spans="1:10" customHeight="0">
      <c r="A4666" s="2" t="inlineStr">
        <is>
          <t>Cетевое оборудование</t>
        </is>
      </c>
      <c r="B4666" s="2" t="inlineStr">
        <is>
          <t>D-LINK</t>
        </is>
      </c>
      <c r="C4666" s="2" t="inlineStr">
        <is>
          <t>DGS-1250-28XMP/A1A</t>
        </is>
      </c>
      <c r="D4666" s="2" t="inlineStr">
        <is>
          <t>Коммутатор D-Link DGS-1250-28XMP/A1A (L2) 24x1Гбит/с 4SFP+ 24PoE 370W управляемый</t>
        </is>
      </c>
      <c r="E4666" s="2" t="inlineStr">
        <is>
          <t>+ </t>
        </is>
      </c>
      <c r="F4666" s="2" t="inlineStr">
        <is>
          <t>+ </t>
        </is>
      </c>
      <c r="H4666" s="2">
        <v>571</v>
      </c>
      <c r="I4666" s="2" t="inlineStr">
        <is>
          <t>$</t>
        </is>
      </c>
      <c r="J4666" s="2">
        <f>HYPERLINK("https://app.astro.lead-studio.pro/product/46a82d8c-8463-46ab-80e4-01884ecc1f44")</f>
      </c>
    </row>
    <row r="4667" spans="1:10" customHeight="0">
      <c r="A4667" s="2" t="inlineStr">
        <is>
          <t>Cетевое оборудование</t>
        </is>
      </c>
      <c r="B4667" s="2" t="inlineStr">
        <is>
          <t>D-LINK</t>
        </is>
      </c>
      <c r="C4667" s="2" t="inlineStr">
        <is>
          <t>DGS-1250-52XMP/A1A</t>
        </is>
      </c>
      <c r="D4667" s="2" t="inlineStr">
        <is>
          <t>Коммутатор D-Link DGS-1250-52XMP/A1A (L2) 48x1Гбит/с 4SFP+ 48PoE+ 370W управляемый</t>
        </is>
      </c>
      <c r="E4667" s="2" t="inlineStr">
        <is>
          <t>+ </t>
        </is>
      </c>
      <c r="F4667" s="2" t="inlineStr">
        <is>
          <t>+ </t>
        </is>
      </c>
      <c r="H4667" s="2">
        <v>918</v>
      </c>
      <c r="I4667" s="2" t="inlineStr">
        <is>
          <t>$</t>
        </is>
      </c>
      <c r="J4667" s="2">
        <f>HYPERLINK("https://app.astro.lead-studio.pro/product/b13e432c-e73a-47ec-a619-1dc85f2dbb4e")</f>
      </c>
    </row>
    <row r="4668" spans="1:10" customHeight="0">
      <c r="A4668" s="2" t="inlineStr">
        <is>
          <t>Cетевое оборудование</t>
        </is>
      </c>
      <c r="B4668" s="2" t="inlineStr">
        <is>
          <t>D-LINK</t>
        </is>
      </c>
      <c r="C4668" s="2" t="inlineStr">
        <is>
          <t>DGS-1520-28MP/A1A</t>
        </is>
      </c>
      <c r="D4668" s="2" t="inlineStr">
        <is>
          <t>Коммутатор D-Link DGS-1520-28MP/A1A (L3) 24x1Гбит/с 2x10Гбит/с 4x2.5Гбит/с 2SFP+ 24PoE+ 370W управляемый</t>
        </is>
      </c>
      <c r="E4668" s="2" t="inlineStr">
        <is>
          <t>+ </t>
        </is>
      </c>
      <c r="F4668" s="2" t="inlineStr">
        <is>
          <t>+ </t>
        </is>
      </c>
      <c r="H4668" s="2">
        <v>1162</v>
      </c>
      <c r="I4668" s="2" t="inlineStr">
        <is>
          <t>$</t>
        </is>
      </c>
      <c r="J4668" s="2">
        <f>HYPERLINK("https://app.astro.lead-studio.pro/product/ddcf7440-ba6f-45a9-bd41-3068ab301bc2")</f>
      </c>
    </row>
    <row r="4669" spans="1:10" customHeight="0">
      <c r="A4669" s="2" t="inlineStr">
        <is>
          <t>Cетевое оборудование</t>
        </is>
      </c>
      <c r="B4669" s="2" t="inlineStr">
        <is>
          <t>D-LINK</t>
        </is>
      </c>
      <c r="C4669" s="2" t="inlineStr">
        <is>
          <t>DGS-1520-52MP/A1A</t>
        </is>
      </c>
      <c r="D4669" s="2" t="inlineStr">
        <is>
          <t>Коммутатор D-Link DGS-1520-52MP/A1A (L3) 48x1Гбит/с 2x10Гбит/с 4x2.5Гбит/с 2SFP+ 48PoE+ 370W управляемый</t>
        </is>
      </c>
      <c r="E4669" s="2" t="inlineStr">
        <is>
          <t>+ </t>
        </is>
      </c>
      <c r="F4669" s="2" t="inlineStr">
        <is>
          <t>+ </t>
        </is>
      </c>
      <c r="H4669" s="2">
        <v>1788</v>
      </c>
      <c r="I4669" s="2" t="inlineStr">
        <is>
          <t>$</t>
        </is>
      </c>
      <c r="J4669" s="2">
        <f>HYPERLINK("https://app.astro.lead-studio.pro/product/ebc28ec7-831d-4fd6-8246-1e90b7723620")</f>
      </c>
    </row>
    <row r="4670" spans="1:10" customHeight="0">
      <c r="A4670" s="2" t="inlineStr">
        <is>
          <t>Cетевое оборудование</t>
        </is>
      </c>
      <c r="B4670" s="2" t="inlineStr">
        <is>
          <t>D-LINK</t>
        </is>
      </c>
      <c r="C4670" s="2" t="inlineStr">
        <is>
          <t>DGS-3000-28LP/B1A</t>
        </is>
      </c>
      <c r="D4670" s="2" t="inlineStr">
        <is>
          <t>Коммутатор D-Link DGS-3000-28LP/B1A 24x1Гбит/с 4SFP 24PoE 193W управляемый</t>
        </is>
      </c>
      <c r="E4670" s="2" t="inlineStr">
        <is>
          <t>+ </t>
        </is>
      </c>
      <c r="F4670" s="2" t="inlineStr">
        <is>
          <t>+ </t>
        </is>
      </c>
      <c r="H4670" s="2">
        <v>582</v>
      </c>
      <c r="I4670" s="2" t="inlineStr">
        <is>
          <t>$</t>
        </is>
      </c>
      <c r="J4670" s="2">
        <f>HYPERLINK("https://app.astro.lead-studio.pro/product/99a97fe5-aade-4e45-a4f5-82b699a2db87")</f>
      </c>
    </row>
    <row r="4671" spans="1:10" customHeight="0">
      <c r="A4671" s="2" t="inlineStr">
        <is>
          <t>Cетевое оборудование</t>
        </is>
      </c>
      <c r="B4671" s="2" t="inlineStr">
        <is>
          <t>D-LINK</t>
        </is>
      </c>
      <c r="C4671" s="2" t="inlineStr">
        <is>
          <t>DGS-3130-30S/B1A</t>
        </is>
      </c>
      <c r="D4671" s="2" t="inlineStr">
        <is>
          <t>Коммутатор D-Link DGS-3130-30S/B1A (L3) 2x10Гбит/с 24xКомбо(1000BASE-T/SFP) 4xКомбо(10GBase-T/SFP+) управляемый</t>
        </is>
      </c>
      <c r="E4671" s="2" t="inlineStr">
        <is>
          <t>+ </t>
        </is>
      </c>
      <c r="F4671" s="2" t="inlineStr">
        <is>
          <t>+ </t>
        </is>
      </c>
      <c r="H4671" s="2">
        <v>1073</v>
      </c>
      <c r="I4671" s="2" t="inlineStr">
        <is>
          <t>$</t>
        </is>
      </c>
      <c r="J4671" s="2">
        <f>HYPERLINK("https://app.astro.lead-studio.pro/product/f26cc5d0-99b5-4941-8782-060b8abf9eba")</f>
      </c>
    </row>
    <row r="4672" spans="1:10" customHeight="0">
      <c r="A4672" s="2" t="inlineStr">
        <is>
          <t>Cетевое оборудование</t>
        </is>
      </c>
      <c r="B4672" s="2" t="inlineStr">
        <is>
          <t>D-LINK</t>
        </is>
      </c>
      <c r="C4672" s="2" t="inlineStr">
        <is>
          <t>DGS-3630-28PC/A2ASI</t>
        </is>
      </c>
      <c r="D4672" s="2" t="inlineStr">
        <is>
          <t>Коммутатор D-Link DGS-3630-28PC/A2ASI (L3) 20x1Гбит/с 4xКомбо(1000BASE-T/SFP) 4SFP+ 24PoE 370W управляемый</t>
        </is>
      </c>
      <c r="E4672" s="2" t="inlineStr">
        <is>
          <t>+ </t>
        </is>
      </c>
      <c r="F4672" s="2" t="inlineStr">
        <is>
          <t>+ </t>
        </is>
      </c>
      <c r="H4672" s="2">
        <v>2585</v>
      </c>
      <c r="I4672" s="2" t="inlineStr">
        <is>
          <t>$</t>
        </is>
      </c>
      <c r="J4672" s="2">
        <f>HYPERLINK("https://app.astro.lead-studio.pro/product/41be4f0d-d8a8-4271-9484-b53e5e224b9a")</f>
      </c>
    </row>
    <row r="4673" spans="1:10" customHeight="0">
      <c r="A4673" s="2" t="inlineStr">
        <is>
          <t>Cетевое оборудование</t>
        </is>
      </c>
      <c r="B4673" s="2" t="inlineStr">
        <is>
          <t>D-LINK</t>
        </is>
      </c>
      <c r="C4673" s="2" t="inlineStr">
        <is>
          <t>DIS-200G-12PS/A</t>
        </is>
      </c>
      <c r="D4673" s="2" t="inlineStr">
        <is>
          <t>Коммутатор D-Link DIS-200G-12PS/A 10x1Гбит/с 2SFP 8PoE 240W управляемый</t>
        </is>
      </c>
      <c r="E4673" s="2" t="inlineStr">
        <is>
          <t>+ </t>
        </is>
      </c>
      <c r="F4673" s="2" t="inlineStr">
        <is>
          <t>+ </t>
        </is>
      </c>
      <c r="H4673" s="2">
        <v>1007</v>
      </c>
      <c r="I4673" s="2" t="inlineStr">
        <is>
          <t>$</t>
        </is>
      </c>
      <c r="J4673" s="2">
        <f>HYPERLINK("https://app.astro.lead-studio.pro/product/58fbbcfe-5f87-4317-b8a7-c9f8a250e538")</f>
      </c>
    </row>
    <row r="4674" spans="1:10" customHeight="0">
      <c r="A4674" s="2" t="inlineStr">
        <is>
          <t>Cетевое оборудование</t>
        </is>
      </c>
      <c r="B4674" s="2" t="inlineStr">
        <is>
          <t>D-LINK</t>
        </is>
      </c>
      <c r="C4674" s="2" t="inlineStr">
        <is>
          <t>DIS-200G-12S/A1A</t>
        </is>
      </c>
      <c r="D4674" s="2" t="inlineStr">
        <is>
          <t>Коммутатор D-Link DIS-200G-12S/A1A 10x1Гбит/с 2SFP управляемый</t>
        </is>
      </c>
      <c r="E4674" s="2" t="inlineStr">
        <is>
          <t>+ </t>
        </is>
      </c>
      <c r="F4674" s="2" t="inlineStr">
        <is>
          <t>+ </t>
        </is>
      </c>
      <c r="H4674" s="2">
        <v>734</v>
      </c>
      <c r="I4674" s="2" t="inlineStr">
        <is>
          <t>$</t>
        </is>
      </c>
      <c r="J4674" s="2">
        <f>HYPERLINK("https://app.astro.lead-studio.pro/product/3895072f-5c42-41f5-b125-1009fe2f33af")</f>
      </c>
    </row>
    <row r="4675" spans="1:10" customHeight="0">
      <c r="A4675" s="2" t="inlineStr">
        <is>
          <t>Cетевое оборудование</t>
        </is>
      </c>
      <c r="B4675" s="2" t="inlineStr">
        <is>
          <t>D-LINK</t>
        </is>
      </c>
      <c r="C4675" s="2" t="inlineStr">
        <is>
          <t>DSS-200G-28MPP/A1A</t>
        </is>
      </c>
      <c r="D4675" s="2" t="inlineStr">
        <is>
          <t>Коммутатор D-Link DSS-200G-28MPP/A1A (L2) 24x1Гбит/с 4xКомбо(1000BASE-T/SFP) 518W настраиваемый</t>
        </is>
      </c>
      <c r="E4675" s="2" t="inlineStr">
        <is>
          <t>+ </t>
        </is>
      </c>
      <c r="F4675" s="2" t="inlineStr">
        <is>
          <t>+ </t>
        </is>
      </c>
      <c r="H4675" s="2">
        <v>509</v>
      </c>
      <c r="I4675" s="2" t="inlineStr">
        <is>
          <t>$</t>
        </is>
      </c>
      <c r="J4675" s="2">
        <f>HYPERLINK("https://app.astro.lead-studio.pro/product/9f9feff6-209d-48ca-9598-4e0dcdfc9c31")</f>
      </c>
    </row>
    <row r="4676" spans="1:10" customHeight="0">
      <c r="A4676" s="2" t="inlineStr">
        <is>
          <t>Cетевое оборудование</t>
        </is>
      </c>
      <c r="B4676" s="2" t="inlineStr">
        <is>
          <t>D-LINK</t>
        </is>
      </c>
      <c r="C4676" s="2" t="inlineStr">
        <is>
          <t>DXS-1210-28S/A1A</t>
        </is>
      </c>
      <c r="D4676" s="2" t="inlineStr">
        <is>
          <t>Коммутатор D-Link DXS-1210-28S DXS-1210-28S/A1A (L2+) 4x10Гбит/с 24SFP+ настраиваемый</t>
        </is>
      </c>
      <c r="E4676" s="2" t="inlineStr">
        <is>
          <t>+ </t>
        </is>
      </c>
      <c r="F4676" s="2" t="inlineStr">
        <is>
          <t>+ </t>
        </is>
      </c>
      <c r="H4676" s="2">
        <v>1612</v>
      </c>
      <c r="I4676" s="2" t="inlineStr">
        <is>
          <t>$</t>
        </is>
      </c>
      <c r="J4676" s="2">
        <f>HYPERLINK("https://app.astro.lead-studio.pro/product/3b27a0d7-d1e4-4494-b56d-14c3a77deeb7")</f>
      </c>
    </row>
    <row r="4677" spans="1:10" customHeight="0">
      <c r="A4677" s="2" t="inlineStr">
        <is>
          <t>Cетевое оборудование</t>
        </is>
      </c>
      <c r="B4677" s="2" t="inlineStr">
        <is>
          <t>D-LINK</t>
        </is>
      </c>
      <c r="C4677" s="2" t="inlineStr">
        <is>
          <t>DXS-3610-54S/A1ASI</t>
        </is>
      </c>
      <c r="D4677" s="2" t="inlineStr">
        <is>
          <t>Коммутатор D-Link DXS-3610-54S/A1ASI (L3) 48SFP+ 6xQSFP28 управляемый</t>
        </is>
      </c>
      <c r="E4677" s="2" t="inlineStr">
        <is>
          <t>+ </t>
        </is>
      </c>
      <c r="F4677" s="2" t="inlineStr">
        <is>
          <t>+ </t>
        </is>
      </c>
      <c r="H4677" s="2">
        <v>10081</v>
      </c>
      <c r="I4677" s="2" t="inlineStr">
        <is>
          <t>$</t>
        </is>
      </c>
      <c r="J4677" s="2">
        <f>HYPERLINK("https://app.astro.lead-studio.pro/product/9e478def-2df6-4e1a-9868-39f93d2307eb")</f>
      </c>
    </row>
    <row r="4678" spans="1:10" customHeight="0">
      <c r="A4678" s="2" t="inlineStr">
        <is>
          <t>Cетевое оборудование</t>
        </is>
      </c>
      <c r="B4678" s="2" t="inlineStr">
        <is>
          <t>DAHUA</t>
        </is>
      </c>
      <c r="C4678" s="2" t="inlineStr">
        <is>
          <t>DH-CS4228-24GT-375</t>
        </is>
      </c>
      <c r="D4678" s="2" t="inlineStr">
        <is>
          <t>Коммутатор Dahua DH-CS4228-24GT-375 (L2) 24x1Гбит/с 2xКомбо(1000BASE-T/SFP) 2SFP 24PoE 375W управляемый</t>
        </is>
      </c>
      <c r="E4678" s="2" t="inlineStr">
        <is>
          <t>+ </t>
        </is>
      </c>
      <c r="F4678" s="2" t="inlineStr">
        <is>
          <t>+ </t>
        </is>
      </c>
      <c r="H4678" s="2">
        <v>408</v>
      </c>
      <c r="I4678" s="2" t="inlineStr">
        <is>
          <t>$</t>
        </is>
      </c>
      <c r="J4678" s="2">
        <f>HYPERLINK("https://app.astro.lead-studio.pro/product/86300a5a-e964-48ad-9497-14a3708d48a1")</f>
      </c>
    </row>
    <row r="4679" spans="1:10" customHeight="0">
      <c r="A4679" s="2" t="inlineStr">
        <is>
          <t>Cетевое оборудование</t>
        </is>
      </c>
      <c r="B4679" s="2" t="inlineStr">
        <is>
          <t>DAHUA</t>
        </is>
      </c>
      <c r="C4679" s="2" t="inlineStr">
        <is>
          <t>DH-HS3220-16GT-190</t>
        </is>
      </c>
      <c r="D4679" s="2" t="inlineStr">
        <is>
          <t>Коммутатор Dahua DH-HS3220-16GT-190 неуправляемый</t>
        </is>
      </c>
      <c r="E4679" s="2" t="inlineStr">
        <is>
          <t>+ </t>
        </is>
      </c>
      <c r="F4679" s="2" t="inlineStr">
        <is>
          <t>+ </t>
        </is>
      </c>
      <c r="H4679" s="2">
        <v>397</v>
      </c>
      <c r="I4679" s="2" t="inlineStr">
        <is>
          <t>$</t>
        </is>
      </c>
      <c r="J4679" s="2">
        <f>HYPERLINK("https://app.astro.lead-studio.pro/product/74047548-1d2d-4141-a433-8ff456dd8a2c")</f>
      </c>
    </row>
    <row r="4680" spans="1:10" customHeight="0">
      <c r="A4680" s="2" t="inlineStr">
        <is>
          <t>Cетевое оборудование</t>
        </is>
      </c>
      <c r="B4680" s="2" t="inlineStr">
        <is>
          <t>DAHUA</t>
        </is>
      </c>
      <c r="C4680" s="2" t="inlineStr">
        <is>
          <t>DH-IS4410-6GT-120</t>
        </is>
      </c>
      <c r="D4680" s="2" t="inlineStr">
        <is>
          <t>Коммутатор Dahua DH-IS4410-6GT-120 (L2) 6x1Гбит/с 4SFP 6PoE 120W управляемый</t>
        </is>
      </c>
      <c r="E4680" s="2" t="inlineStr">
        <is>
          <t>+ </t>
        </is>
      </c>
      <c r="F4680" s="2" t="inlineStr">
        <is>
          <t>+ </t>
        </is>
      </c>
      <c r="H4680" s="2">
        <v>394</v>
      </c>
      <c r="I4680" s="2" t="inlineStr">
        <is>
          <t>$</t>
        </is>
      </c>
      <c r="J4680" s="2">
        <f>HYPERLINK("https://app.astro.lead-studio.pro/product/b76148e7-555e-43f3-ba52-c5622cff1e33")</f>
      </c>
    </row>
    <row r="4681" spans="1:10" customHeight="0">
      <c r="A4681" s="2" t="inlineStr">
        <is>
          <t>Cетевое оборудование</t>
        </is>
      </c>
      <c r="B4681" s="2" t="inlineStr">
        <is>
          <t>DAHUA</t>
        </is>
      </c>
      <c r="C4681" s="2" t="inlineStr">
        <is>
          <t>DH-IS4420-16GT-240</t>
        </is>
      </c>
      <c r="D4681" s="2" t="inlineStr">
        <is>
          <t>Коммутатор Dahua DH-IS4420-16GT-240 (L2) 20x1Гбит/с 3SFP 16PoE 240W управляемый</t>
        </is>
      </c>
      <c r="E4681" s="2" t="inlineStr">
        <is>
          <t>+ </t>
        </is>
      </c>
      <c r="F4681" s="2" t="inlineStr">
        <is>
          <t>+ </t>
        </is>
      </c>
      <c r="H4681" s="2">
        <v>579</v>
      </c>
      <c r="I4681" s="2" t="inlineStr">
        <is>
          <t>$</t>
        </is>
      </c>
      <c r="J4681" s="2">
        <f>HYPERLINK("https://app.astro.lead-studio.pro/product/c4aee806-23f6-4768-af5c-2aa786e2e146")</f>
      </c>
    </row>
    <row r="4682" spans="1:10" customHeight="0">
      <c r="A4682" s="2" t="inlineStr">
        <is>
          <t>Cетевое оборудование</t>
        </is>
      </c>
      <c r="B4682" s="2" t="inlineStr">
        <is>
          <t>DAHUA</t>
        </is>
      </c>
      <c r="C4682" s="2" t="inlineStr">
        <is>
          <t>DH-LR2226-24ET-360</t>
        </is>
      </c>
      <c r="D4682" s="2" t="inlineStr">
        <is>
          <t>Коммутатор Dahua DH-LR2226-24ET-360 (L2) 24x100Мбит/с 2x1Гбит/с 2xКомбо(1000BASE-T/SFP) 22PoE+ 2PoE++ 360W управляемый</t>
        </is>
      </c>
      <c r="E4682" s="2" t="inlineStr">
        <is>
          <t>+ </t>
        </is>
      </c>
      <c r="F4682" s="2" t="inlineStr">
        <is>
          <t>+ </t>
        </is>
      </c>
      <c r="H4682" s="2">
        <v>434</v>
      </c>
      <c r="I4682" s="2" t="inlineStr">
        <is>
          <t>$</t>
        </is>
      </c>
      <c r="J4682" s="2">
        <f>HYPERLINK("https://app.astro.lead-studio.pro/product/ec82d43a-aeb8-4195-b458-c352e78bbf46")</f>
      </c>
    </row>
    <row r="4683" spans="1:10" customHeight="0">
      <c r="A4683" s="2" t="inlineStr">
        <is>
          <t>Cетевое оборудование</t>
        </is>
      </c>
      <c r="B4683" s="2" t="inlineStr">
        <is>
          <t>DAHUA</t>
        </is>
      </c>
      <c r="C4683" s="2" t="inlineStr">
        <is>
          <t>DH-S4220-16GT-240</t>
        </is>
      </c>
      <c r="D4683" s="2" t="inlineStr">
        <is>
          <t>Коммутатор Dahua DH-S4220-16GT-240 (L2) 20x1Гбит/с 2SFP 240W управляемый</t>
        </is>
      </c>
      <c r="E4683" s="2" t="inlineStr">
        <is>
          <t>+ </t>
        </is>
      </c>
      <c r="F4683" s="2" t="inlineStr">
        <is>
          <t>+ </t>
        </is>
      </c>
      <c r="H4683" s="2">
        <v>373</v>
      </c>
      <c r="I4683" s="2" t="inlineStr">
        <is>
          <t>$</t>
        </is>
      </c>
      <c r="J4683" s="2">
        <f>HYPERLINK("https://app.astro.lead-studio.pro/product/59c7ab47-93e9-454b-888d-b6e413cb436a")</f>
      </c>
    </row>
    <row r="4684" spans="1:10" customHeight="0">
      <c r="A4684" s="2" t="inlineStr">
        <is>
          <t>Cетевое оборудование</t>
        </is>
      </c>
      <c r="B4684" s="2" t="inlineStr">
        <is>
          <t>HIKVISION</t>
        </is>
      </c>
      <c r="C4684" s="2" t="inlineStr">
        <is>
          <t>DS-3E0526P-E</t>
        </is>
      </c>
      <c r="D4684" s="2" t="inlineStr">
        <is>
          <t>Коммутатор Hikvision DS-3E0526P-E 25x1Гбит/с 1SFP 24PoE+ 270W неуправляемый</t>
        </is>
      </c>
      <c r="E4684" s="2" t="inlineStr">
        <is>
          <t>+ </t>
        </is>
      </c>
      <c r="F4684" s="2" t="inlineStr">
        <is>
          <t>+ </t>
        </is>
      </c>
      <c r="H4684" s="2">
        <v>360</v>
      </c>
      <c r="I4684" s="2" t="inlineStr">
        <is>
          <t>$</t>
        </is>
      </c>
      <c r="J4684" s="2">
        <f>HYPERLINK("https://app.astro.lead-studio.pro/product/12a19043-341e-4a11-9ec8-2baaf0b47c17")</f>
      </c>
    </row>
    <row r="4685" spans="1:10" customHeight="0">
      <c r="A4685" s="2" t="inlineStr">
        <is>
          <t>Cетевое оборудование</t>
        </is>
      </c>
      <c r="B4685" s="2" t="inlineStr">
        <is>
          <t>HIKVISION</t>
        </is>
      </c>
      <c r="C4685" s="2" t="inlineStr">
        <is>
          <t>DS-3E0526P-E/M</t>
        </is>
      </c>
      <c r="D4685" s="2" t="inlineStr">
        <is>
          <t>Коммутатор Hikvision DS-3E0526P-E/M 24x1Гбит/с 2SFP 24PoE 225W неуправляемый</t>
        </is>
      </c>
      <c r="E4685" s="2" t="inlineStr">
        <is>
          <t>+ </t>
        </is>
      </c>
      <c r="F4685" s="2" t="inlineStr">
        <is>
          <t>+ </t>
        </is>
      </c>
      <c r="H4685" s="2">
        <v>357</v>
      </c>
      <c r="I4685" s="2" t="inlineStr">
        <is>
          <t>$</t>
        </is>
      </c>
      <c r="J4685" s="2">
        <f>HYPERLINK("https://app.astro.lead-studio.pro/product/be5a93b9-b733-4de4-b89a-ad29cbf3f308")</f>
      </c>
    </row>
    <row r="4686" spans="1:10" customHeight="0">
      <c r="A4686" s="2" t="inlineStr">
        <is>
          <t>Cетевое оборудование</t>
        </is>
      </c>
      <c r="B4686" s="2" t="inlineStr">
        <is>
          <t>HIKVISION</t>
        </is>
      </c>
      <c r="C4686" s="2" t="inlineStr">
        <is>
          <t>DS-3E1526P-SI</t>
        </is>
      </c>
      <c r="D4686" s="2" t="inlineStr">
        <is>
          <t>Коммутатор Hikvision DS-3E1526P-SI 24x1Гбит/с 2SFP 24PoE+ 370W управляемый</t>
        </is>
      </c>
      <c r="E4686" s="2" t="inlineStr">
        <is>
          <t>+++ </t>
        </is>
      </c>
      <c r="F4686" s="2" t="inlineStr">
        <is>
          <t>+++ </t>
        </is>
      </c>
      <c r="H4686" s="2">
        <v>420</v>
      </c>
      <c r="I4686" s="2" t="inlineStr">
        <is>
          <t>$</t>
        </is>
      </c>
      <c r="J4686" s="2">
        <f>HYPERLINK("https://app.astro.lead-studio.pro/product/f6202613-5e9c-4ea8-8aa5-0fc419554680")</f>
      </c>
    </row>
    <row r="4687" spans="1:10" customHeight="0">
      <c r="A4687" s="2" t="inlineStr">
        <is>
          <t>Cетевое оборудование</t>
        </is>
      </c>
      <c r="B4687" s="2" t="inlineStr">
        <is>
          <t>MIKROTIK</t>
        </is>
      </c>
      <c r="C4687" s="2" t="inlineStr">
        <is>
          <t>CCR2004-16G-2S+</t>
        </is>
      </c>
      <c r="D4687" s="2" t="inlineStr">
        <is>
          <t>Коммутатор MikroTik CCR2004-16G-2S+ 16x1Гбит/с 2SFP+ управляемый</t>
        </is>
      </c>
      <c r="E4687" s="2" t="inlineStr">
        <is>
          <t>+++ </t>
        </is>
      </c>
      <c r="F4687" s="2" t="inlineStr">
        <is>
          <t>+++ </t>
        </is>
      </c>
      <c r="H4687" s="2">
        <v>563</v>
      </c>
      <c r="I4687" s="2" t="inlineStr">
        <is>
          <t>$</t>
        </is>
      </c>
      <c r="J4687" s="2">
        <f>HYPERLINK("https://app.astro.lead-studio.pro/product/0603ed6a-6ec1-48ad-89a2-707b186c331f")</f>
      </c>
    </row>
    <row r="4688" spans="1:10" customHeight="0">
      <c r="A4688" s="2" t="inlineStr">
        <is>
          <t>Cетевое оборудование</t>
        </is>
      </c>
      <c r="B4688" s="2" t="inlineStr">
        <is>
          <t>MIKROTIK</t>
        </is>
      </c>
      <c r="C4688" s="2" t="inlineStr">
        <is>
          <t>CCR2004-16G-2S+PC</t>
        </is>
      </c>
      <c r="D4688" s="2" t="inlineStr">
        <is>
          <t>Коммутатор MikroTik CCR2004-16G-2S+PC 16x1Гбит/с 2SFP+ управляемый</t>
        </is>
      </c>
      <c r="E4688" s="2" t="inlineStr">
        <is>
          <t>+ </t>
        </is>
      </c>
      <c r="F4688" s="2" t="inlineStr">
        <is>
          <t>+ </t>
        </is>
      </c>
      <c r="H4688" s="2">
        <v>596</v>
      </c>
      <c r="I4688" s="2" t="inlineStr">
        <is>
          <t>$</t>
        </is>
      </c>
      <c r="J4688" s="2">
        <f>HYPERLINK("https://app.astro.lead-studio.pro/product/32d58f42-3854-4be0-a9ef-77e9f609f209")</f>
      </c>
    </row>
    <row r="4689" spans="1:10" customHeight="0">
      <c r="A4689" s="2" t="inlineStr">
        <is>
          <t>Cетевое оборудование</t>
        </is>
      </c>
      <c r="B4689" s="2" t="inlineStr">
        <is>
          <t>MIKROTIK</t>
        </is>
      </c>
      <c r="C4689" s="2" t="inlineStr">
        <is>
          <t>CRS317-1G-16S+RM</t>
        </is>
      </c>
      <c r="D4689" s="2" t="inlineStr">
        <is>
          <t>Коммутатор MikroTik CRS317-1G-16S+RM (L3) 1x1Гбит/с 16SFP+ управляемый</t>
        </is>
      </c>
      <c r="E4689" s="2" t="inlineStr">
        <is>
          <t>+ </t>
        </is>
      </c>
      <c r="F4689" s="2" t="inlineStr">
        <is>
          <t>+ </t>
        </is>
      </c>
      <c r="H4689" s="2">
        <v>602</v>
      </c>
      <c r="I4689" s="2" t="inlineStr">
        <is>
          <t>$</t>
        </is>
      </c>
      <c r="J4689" s="2">
        <f>HYPERLINK("https://app.astro.lead-studio.pro/product/2ef69283-f344-409d-80ba-4b1c156f7372")</f>
      </c>
    </row>
    <row r="4690" spans="1:10" customHeight="0">
      <c r="A4690" s="2" t="inlineStr">
        <is>
          <t>Cетевое оборудование</t>
        </is>
      </c>
      <c r="B4690" s="2" t="inlineStr">
        <is>
          <t>MIKROTIK</t>
        </is>
      </c>
      <c r="C4690" s="2" t="inlineStr">
        <is>
          <t>CRS328-24P-4S+RM</t>
        </is>
      </c>
      <c r="D4690" s="2" t="inlineStr">
        <is>
          <t>Коммутатор MikroTik CRS328-24P-4S+RM (L3) 24x1Гбит/с 4SFP+ 24PoE+ 450W управляемый</t>
        </is>
      </c>
      <c r="E4690" s="2" t="inlineStr">
        <is>
          <t>+ </t>
        </is>
      </c>
      <c r="F4690" s="2" t="inlineStr">
        <is>
          <t>+ </t>
        </is>
      </c>
      <c r="H4690" s="2">
        <v>680</v>
      </c>
      <c r="I4690" s="2" t="inlineStr">
        <is>
          <t>$</t>
        </is>
      </c>
      <c r="J4690" s="2">
        <f>HYPERLINK("https://app.astro.lead-studio.pro/product/13a50633-ae54-4450-92b6-78a7ba5282e7")</f>
      </c>
    </row>
    <row r="4691" spans="1:10" customHeight="0">
      <c r="A4691" s="2" t="inlineStr">
        <is>
          <t>Cетевое оборудование</t>
        </is>
      </c>
      <c r="B4691" s="2" t="inlineStr">
        <is>
          <t>MIKROTIK</t>
        </is>
      </c>
      <c r="C4691" s="2" t="inlineStr">
        <is>
          <t>CRS354-48G-4S+2Q+RM</t>
        </is>
      </c>
      <c r="D4691" s="2" t="inlineStr">
        <is>
          <t>Коммутатор MikroTik CRS354-48G-4S+2Q+RM 1x100Мбит/с 48x1Гбит/с 4SFP+ 2xQSFP+ управляемый</t>
        </is>
      </c>
      <c r="E4691" s="2" t="inlineStr">
        <is>
          <t>+ </t>
        </is>
      </c>
      <c r="F4691" s="2" t="inlineStr">
        <is>
          <t>+ </t>
        </is>
      </c>
      <c r="H4691" s="2">
        <v>1048</v>
      </c>
      <c r="I4691" s="2" t="inlineStr">
        <is>
          <t>$</t>
        </is>
      </c>
      <c r="J4691" s="2">
        <f>HYPERLINK("https://app.astro.lead-studio.pro/product/aab5272d-3295-403b-a442-d01a905a2b87")</f>
      </c>
    </row>
    <row r="4692" spans="1:10" customHeight="0">
      <c r="A4692" s="2" t="inlineStr">
        <is>
          <t>Cетевое оборудование</t>
        </is>
      </c>
      <c r="B4692" s="2" t="inlineStr">
        <is>
          <t>MIKROTIK</t>
        </is>
      </c>
      <c r="C4692" s="2" t="inlineStr">
        <is>
          <t>CRS318-16P-2S+OUT</t>
        </is>
      </c>
      <c r="D4692" s="2" t="inlineStr">
        <is>
          <t>Коммутатор MikroTik netPower 16P CRS318-16P-2S+OUT (L3) 16x1Гбит/с 2SFP+ 16PoE 300W управляемый</t>
        </is>
      </c>
      <c r="E4692" s="2" t="inlineStr">
        <is>
          <t>+ </t>
        </is>
      </c>
      <c r="F4692" s="2" t="inlineStr">
        <is>
          <t>+ </t>
        </is>
      </c>
      <c r="H4692" s="2">
        <v>412</v>
      </c>
      <c r="I4692" s="2" t="inlineStr">
        <is>
          <t>$</t>
        </is>
      </c>
      <c r="J4692" s="2">
        <f>HYPERLINK("https://app.astro.lead-studio.pro/product/8095bdda-af42-4099-91bc-e3b01793008f")</f>
      </c>
    </row>
    <row r="4693" spans="1:10" customHeight="0">
      <c r="A4693" s="2" t="inlineStr">
        <is>
          <t>Cетевое оборудование</t>
        </is>
      </c>
      <c r="B4693" s="2" t="inlineStr">
        <is>
          <t>ORIGO</t>
        </is>
      </c>
      <c r="C4693" s="2" t="inlineStr">
        <is>
          <t>OI3106P/60W/A1A</t>
        </is>
      </c>
      <c r="D4693" s="2" t="inlineStr">
        <is>
          <t>Коммутатор Origo OI3106P/60W OI3106P/60W/A1A (L2) 6x1Гбит/с 2SFP 4PoE+ 60W управляемый</t>
        </is>
      </c>
      <c r="E4693" s="2" t="inlineStr">
        <is>
          <t>+ </t>
        </is>
      </c>
      <c r="F4693" s="2" t="inlineStr">
        <is>
          <t>+ </t>
        </is>
      </c>
      <c r="H4693" s="2">
        <v>413</v>
      </c>
      <c r="I4693" s="2" t="inlineStr">
        <is>
          <t>$</t>
        </is>
      </c>
      <c r="J4693" s="2">
        <f>HYPERLINK("https://app.astro.lead-studio.pro/product/1e8449b3-07be-44c9-80ab-aebd920ca86e")</f>
      </c>
    </row>
    <row r="4694" spans="1:10" customHeight="0">
      <c r="A4694" s="2" t="inlineStr">
        <is>
          <t>Cетевое оборудование</t>
        </is>
      </c>
      <c r="B4694" s="2" t="inlineStr">
        <is>
          <t>ORIGO</t>
        </is>
      </c>
      <c r="C4694" s="2" t="inlineStr">
        <is>
          <t>OI3112/A1A</t>
        </is>
      </c>
      <c r="D4694" s="2" t="inlineStr">
        <is>
          <t>Коммутатор Origo OI3112 OI3112/A1A (L2) 12x1Гбит/с 4SFP управляемый</t>
        </is>
      </c>
      <c r="E4694" s="2" t="inlineStr">
        <is>
          <t>+ </t>
        </is>
      </c>
      <c r="F4694" s="2" t="inlineStr">
        <is>
          <t>+ </t>
        </is>
      </c>
      <c r="H4694" s="2">
        <v>315</v>
      </c>
      <c r="I4694" s="2" t="inlineStr">
        <is>
          <t>$</t>
        </is>
      </c>
      <c r="J4694" s="2">
        <f>HYPERLINK("https://app.astro.lead-studio.pro/product/a9bd5d6c-456c-4e3f-8184-b5c361a6ecad")</f>
      </c>
    </row>
    <row r="4695" spans="1:10" customHeight="0">
      <c r="A4695" s="2" t="inlineStr">
        <is>
          <t>Cетевое оборудование</t>
        </is>
      </c>
      <c r="B4695" s="2" t="inlineStr">
        <is>
          <t>ORIGO</t>
        </is>
      </c>
      <c r="C4695" s="2" t="inlineStr">
        <is>
          <t>OI3120P/185W/A1A</t>
        </is>
      </c>
      <c r="D4695" s="2" t="inlineStr">
        <is>
          <t>Коммутатор Origo OI3120P/185W OI3120P/185W/A1A (L2) 8x1Гбит/с 12SFP 8PoE+ 185W управляемый</t>
        </is>
      </c>
      <c r="E4695" s="2" t="inlineStr">
        <is>
          <t>+ </t>
        </is>
      </c>
      <c r="F4695" s="2" t="inlineStr">
        <is>
          <t>+ </t>
        </is>
      </c>
      <c r="H4695" s="2">
        <v>517</v>
      </c>
      <c r="I4695" s="2" t="inlineStr">
        <is>
          <t>$</t>
        </is>
      </c>
      <c r="J4695" s="2">
        <f>HYPERLINK("https://app.astro.lead-studio.pro/product/5144e14d-019d-46d7-8e44-6f39af6b4e2f")</f>
      </c>
    </row>
    <row r="4696" spans="1:10" customHeight="0">
      <c r="A4696" s="2" t="inlineStr">
        <is>
          <t>Cетевое оборудование</t>
        </is>
      </c>
      <c r="B4696" s="2" t="inlineStr">
        <is>
          <t>ORIGO</t>
        </is>
      </c>
      <c r="C4696" s="2" t="inlineStr">
        <is>
          <t>OS3152/A1A</t>
        </is>
      </c>
      <c r="D4696" s="2" t="inlineStr">
        <is>
          <t>Коммутатор Origo OS3152 OS3152/A1A (L2) 48x1Гбит/с 4SFP управляемый</t>
        </is>
      </c>
      <c r="E4696" s="2" t="inlineStr">
        <is>
          <t>+ </t>
        </is>
      </c>
      <c r="F4696" s="2" t="inlineStr">
        <is>
          <t>+ </t>
        </is>
      </c>
      <c r="H4696" s="2">
        <v>388</v>
      </c>
      <c r="I4696" s="2" t="inlineStr">
        <is>
          <t>$</t>
        </is>
      </c>
      <c r="J4696" s="2">
        <f>HYPERLINK("https://app.astro.lead-studio.pro/product/aa087910-1bdd-4653-9067-0f692cce1d29")</f>
      </c>
    </row>
    <row r="4697" spans="1:10" customHeight="0">
      <c r="A4697" s="2" t="inlineStr">
        <is>
          <t>Cетевое оборудование</t>
        </is>
      </c>
      <c r="B4697" s="2" t="inlineStr">
        <is>
          <t>ORIGO</t>
        </is>
      </c>
      <c r="C4697" s="2" t="inlineStr">
        <is>
          <t>OS3228P/250W/A1A</t>
        </is>
      </c>
      <c r="D4697" s="2" t="inlineStr">
        <is>
          <t>Коммутатор Origo OS3228P/250W OS3228P/250W/A1A (L3) 24x1Гбит/с 4x10Гбит/с 4SFP+ 250W управляемый</t>
        </is>
      </c>
      <c r="E4697" s="2" t="inlineStr">
        <is>
          <t>+ </t>
        </is>
      </c>
      <c r="F4697" s="2" t="inlineStr">
        <is>
          <t>+ </t>
        </is>
      </c>
      <c r="H4697" s="2">
        <v>406</v>
      </c>
      <c r="I4697" s="2" t="inlineStr">
        <is>
          <t>$</t>
        </is>
      </c>
      <c r="J4697" s="2">
        <f>HYPERLINK("https://app.astro.lead-studio.pro/product/2b691f8c-81ce-424d-895e-939c8bd6f366")</f>
      </c>
    </row>
    <row r="4698" spans="1:10" customHeight="0">
      <c r="A4698" s="2" t="inlineStr">
        <is>
          <t>Cетевое оборудование</t>
        </is>
      </c>
      <c r="B4698" s="2" t="inlineStr">
        <is>
          <t>OSNOVO</t>
        </is>
      </c>
      <c r="C4698" s="2" t="inlineStr">
        <is>
          <t>SW-24G4X-1L</t>
        </is>
      </c>
      <c r="D4698" s="2" t="inlineStr">
        <is>
          <t>Коммутатор Osnovo SW-24G4X-1L (L3) 28x1Гбит/с 4SFP+ 24PoE 400W управляемый</t>
        </is>
      </c>
      <c r="E4698" s="2" t="inlineStr">
        <is>
          <t>+ </t>
        </is>
      </c>
      <c r="F4698" s="2" t="inlineStr">
        <is>
          <t>+ </t>
        </is>
      </c>
      <c r="H4698" s="2">
        <v>678</v>
      </c>
      <c r="I4698" s="2" t="inlineStr">
        <is>
          <t>$</t>
        </is>
      </c>
      <c r="J4698" s="2">
        <f>HYPERLINK("https://app.astro.lead-studio.pro/product/2f6c7118-b7f1-44da-9551-a66e44f39b6a")</f>
      </c>
    </row>
    <row r="4699" spans="1:10" customHeight="0">
      <c r="A4699" s="2" t="inlineStr">
        <is>
          <t>Cетевое оборудование</t>
        </is>
      </c>
      <c r="B4699" s="2" t="inlineStr">
        <is>
          <t>OSNOVO</t>
        </is>
      </c>
      <c r="C4699" s="2" t="inlineStr">
        <is>
          <t>SW-24G4X-2L</t>
        </is>
      </c>
      <c r="D4699" s="2" t="inlineStr">
        <is>
          <t>Коммутатор Osnovo SW-24G4X-2L (L3) 28x1Гбит/с 4SFP+ управляемый</t>
        </is>
      </c>
      <c r="E4699" s="2" t="inlineStr">
        <is>
          <t>+ </t>
        </is>
      </c>
      <c r="F4699" s="2" t="inlineStr">
        <is>
          <t>+ </t>
        </is>
      </c>
      <c r="H4699" s="2">
        <v>601</v>
      </c>
      <c r="I4699" s="2" t="inlineStr">
        <is>
          <t>$</t>
        </is>
      </c>
      <c r="J4699" s="2">
        <f>HYPERLINK("https://app.astro.lead-studio.pro/product/2ceedbdc-cea9-4408-bef1-8fc3defd29fc")</f>
      </c>
    </row>
    <row r="4700" spans="1:10" customHeight="0">
      <c r="A4700" s="2" t="inlineStr">
        <is>
          <t>Cетевое оборудование</t>
        </is>
      </c>
      <c r="B4700" s="2" t="inlineStr">
        <is>
          <t>OSNOVO</t>
        </is>
      </c>
      <c r="C4700" s="2" t="inlineStr">
        <is>
          <t>SW-48G4X-2L</t>
        </is>
      </c>
      <c r="D4700" s="2" t="inlineStr">
        <is>
          <t>Коммутатор Osnovo SW-48G4X-2L (L3) 48x1Гбит/с 4SFP+ 48PoE 800W управляемый</t>
        </is>
      </c>
      <c r="E4700" s="2" t="inlineStr">
        <is>
          <t>+ </t>
        </is>
      </c>
      <c r="F4700" s="2" t="inlineStr">
        <is>
          <t>+ </t>
        </is>
      </c>
      <c r="H4700" s="2">
        <v>936</v>
      </c>
      <c r="I4700" s="2" t="inlineStr">
        <is>
          <t>$</t>
        </is>
      </c>
      <c r="J4700" s="2">
        <f>HYPERLINK("https://app.astro.lead-studio.pro/product/4befe51f-aab7-41ed-8c79-ba010ab7e933")</f>
      </c>
    </row>
    <row r="4701" spans="1:10" customHeight="0">
      <c r="A4701" s="2" t="inlineStr">
        <is>
          <t>Cетевое оборудование</t>
        </is>
      </c>
      <c r="B4701" s="2" t="inlineStr">
        <is>
          <t>OSNOVO</t>
        </is>
      </c>
      <c r="C4701" s="2" t="inlineStr">
        <is>
          <t>SW-60812/I</t>
        </is>
      </c>
      <c r="D4701" s="2" t="inlineStr">
        <is>
          <t>Коммутатор Osnovo SW-60812/I 8x100Мбит/с 1x1Гбит/с 2SFP 6PoE++ 300W</t>
        </is>
      </c>
      <c r="E4701" s="2" t="inlineStr">
        <is>
          <t>+ </t>
        </is>
      </c>
      <c r="F4701" s="2" t="inlineStr">
        <is>
          <t>+ </t>
        </is>
      </c>
      <c r="H4701" s="2">
        <v>320</v>
      </c>
      <c r="I4701" s="2" t="inlineStr">
        <is>
          <t>$</t>
        </is>
      </c>
      <c r="J4701" s="2">
        <f>HYPERLINK("https://app.astro.lead-studio.pro/product/af0700d3-c117-44ab-a002-603bb765f3b5")</f>
      </c>
    </row>
    <row r="4702" spans="1:10" customHeight="0">
      <c r="A4702" s="2" t="inlineStr">
        <is>
          <t>Cетевое оборудование</t>
        </is>
      </c>
      <c r="B4702" s="2" t="inlineStr">
        <is>
          <t>OSNOVO</t>
        </is>
      </c>
      <c r="C4702" s="2" t="inlineStr">
        <is>
          <t>SW-64822(700W)</t>
        </is>
      </c>
      <c r="D4702" s="2" t="inlineStr">
        <is>
          <t>Коммутатор Osnovo SW-64822(700W) (L2) 50x100Мбит/с 2xКомбо(1000BASE-T/SFP) 48PoE 700W неуправляемый</t>
        </is>
      </c>
      <c r="E4702" s="2" t="inlineStr">
        <is>
          <t>+ </t>
        </is>
      </c>
      <c r="F4702" s="2" t="inlineStr">
        <is>
          <t>+ </t>
        </is>
      </c>
      <c r="H4702" s="2">
        <v>445</v>
      </c>
      <c r="I4702" s="2" t="inlineStr">
        <is>
          <t>$</t>
        </is>
      </c>
      <c r="J4702" s="2">
        <f>HYPERLINK("https://app.astro.lead-studio.pro/product/00c2515a-14bf-47f9-be98-c70c869a22fb")</f>
      </c>
    </row>
    <row r="4703" spans="1:10" customHeight="0">
      <c r="A4703" s="2" t="inlineStr">
        <is>
          <t>Cетевое оборудование</t>
        </is>
      </c>
      <c r="B4703" s="2" t="inlineStr">
        <is>
          <t>OSNOVO</t>
        </is>
      </c>
      <c r="C4703" s="2" t="inlineStr">
        <is>
          <t>SW-70802/IL</t>
        </is>
      </c>
      <c r="D4703" s="2" t="inlineStr">
        <is>
          <t>Коммутатор Osnovo SW-70802/IL неуправляемый</t>
        </is>
      </c>
      <c r="E4703" s="2" t="inlineStr">
        <is>
          <t>+ </t>
        </is>
      </c>
      <c r="F4703" s="2" t="inlineStr">
        <is>
          <t>+ </t>
        </is>
      </c>
      <c r="H4703" s="2">
        <v>432</v>
      </c>
      <c r="I4703" s="2" t="inlineStr">
        <is>
          <t>$</t>
        </is>
      </c>
      <c r="J4703" s="2">
        <f>HYPERLINK("https://app.astro.lead-studio.pro/product/2563b444-cd82-4f9a-a98c-96bfe2abe9a8")</f>
      </c>
    </row>
    <row r="4704" spans="1:10" customHeight="0">
      <c r="A4704" s="2" t="inlineStr">
        <is>
          <t>Cетевое оборудование</t>
        </is>
      </c>
      <c r="B4704" s="2" t="inlineStr">
        <is>
          <t>OSNOVO</t>
        </is>
      </c>
      <c r="C4704" s="2" t="inlineStr">
        <is>
          <t>SW-70804/IL</t>
        </is>
      </c>
      <c r="D4704" s="2" t="inlineStr">
        <is>
          <t>Коммутатор Osnovo SW-70804/IL 2xКомбо(1000BASE-T/SFP) управляемый</t>
        </is>
      </c>
      <c r="E4704" s="2" t="inlineStr">
        <is>
          <t>+ </t>
        </is>
      </c>
      <c r="F4704" s="2" t="inlineStr">
        <is>
          <t>+ </t>
        </is>
      </c>
      <c r="H4704" s="2">
        <v>558</v>
      </c>
      <c r="I4704" s="2" t="inlineStr">
        <is>
          <t>$</t>
        </is>
      </c>
      <c r="J4704" s="2">
        <f>HYPERLINK("https://app.astro.lead-studio.pro/product/9f595869-d28b-4bbe-ad13-2f2a235e3ba1")</f>
      </c>
    </row>
    <row r="4705" spans="1:10" customHeight="0">
      <c r="A4705" s="2" t="inlineStr">
        <is>
          <t>Cетевое оборудование</t>
        </is>
      </c>
      <c r="B4705" s="2" t="inlineStr">
        <is>
          <t>OSNOVO</t>
        </is>
      </c>
      <c r="C4705" s="2" t="inlineStr">
        <is>
          <t>SW-80802/WLU</t>
        </is>
      </c>
      <c r="D4705" s="2" t="inlineStr">
        <is>
          <t>Коммутатор Osnovo SW-80802/WLU управляемый</t>
        </is>
      </c>
      <c r="E4705" s="2" t="inlineStr">
        <is>
          <t>+ </t>
        </is>
      </c>
      <c r="F4705" s="2" t="inlineStr">
        <is>
          <t>+ </t>
        </is>
      </c>
      <c r="H4705" s="2">
        <v>1023</v>
      </c>
      <c r="I4705" s="2" t="inlineStr">
        <is>
          <t>$</t>
        </is>
      </c>
      <c r="J4705" s="2">
        <f>HYPERLINK("https://app.astro.lead-studio.pro/product/d4dc1023-f422-428a-b556-d84334977b39")</f>
      </c>
    </row>
    <row r="4706" spans="1:10" customHeight="0">
      <c r="A4706" s="2" t="inlineStr">
        <is>
          <t>Cетевое оборудование</t>
        </is>
      </c>
      <c r="B4706" s="2" t="inlineStr">
        <is>
          <t>OSNOVO</t>
        </is>
      </c>
      <c r="C4706" s="2" t="inlineStr">
        <is>
          <t>SW-80804/ILS</t>
        </is>
      </c>
      <c r="D4706" s="2" t="inlineStr">
        <is>
          <t>Коммутатор Osnovo SW-80804/ILS управляемый</t>
        </is>
      </c>
      <c r="E4706" s="2" t="inlineStr">
        <is>
          <t>+ </t>
        </is>
      </c>
      <c r="F4706" s="2" t="inlineStr">
        <is>
          <t>+ </t>
        </is>
      </c>
      <c r="H4706" s="2">
        <v>668</v>
      </c>
      <c r="I4706" s="2" t="inlineStr">
        <is>
          <t>$</t>
        </is>
      </c>
      <c r="J4706" s="2">
        <f>HYPERLINK("https://app.astro.lead-studio.pro/product/fe85fed7-71dd-46c5-8ef2-26f8310ff032")</f>
      </c>
    </row>
    <row r="4707" spans="1:10" customHeight="0">
      <c r="A4707" s="2" t="inlineStr">
        <is>
          <t>Cетевое оборудование</t>
        </is>
      </c>
      <c r="B4707" s="2" t="inlineStr">
        <is>
          <t>SNR</t>
        </is>
      </c>
      <c r="C4707" s="2" t="inlineStr">
        <is>
          <t>SNR-S2982G-24T-POE-E</t>
        </is>
      </c>
      <c r="D4707" s="2" t="inlineStr">
        <is>
          <t>Коммутатор SNR SNR-S2982G-24T-POE-E (L2) 24x1Гбит/с 4SFP 24PoE 370W управляемый</t>
        </is>
      </c>
      <c r="E4707" s="2" t="inlineStr">
        <is>
          <t>+ </t>
        </is>
      </c>
      <c r="F4707" s="2" t="inlineStr">
        <is>
          <t>+ </t>
        </is>
      </c>
      <c r="H4707" s="2">
        <v>622</v>
      </c>
      <c r="I4707" s="2" t="inlineStr">
        <is>
          <t>$</t>
        </is>
      </c>
      <c r="J4707" s="2">
        <f>HYPERLINK("https://app.astro.lead-studio.pro/product/42ba2450-4134-4e18-ac22-53ee9d6623a7")</f>
      </c>
    </row>
    <row r="4708" spans="1:10" customHeight="0">
      <c r="A4708" s="2" t="inlineStr">
        <is>
          <t>Cетевое оборудование</t>
        </is>
      </c>
      <c r="B4708" s="2" t="inlineStr">
        <is>
          <t>SNR</t>
        </is>
      </c>
      <c r="C4708" s="2" t="inlineStr">
        <is>
          <t>SNR-S2982G-24T-POE</t>
        </is>
      </c>
      <c r="D4708" s="2" t="inlineStr">
        <is>
          <t>Коммутатор SNR SNR-S2982G-24T-POE (L2) 24x1Гбит/с 4SFP 24PoE 185W управляемый</t>
        </is>
      </c>
      <c r="E4708" s="2" t="inlineStr">
        <is>
          <t>+ </t>
        </is>
      </c>
      <c r="F4708" s="2" t="inlineStr">
        <is>
          <t>+ </t>
        </is>
      </c>
      <c r="H4708" s="2">
        <v>469</v>
      </c>
      <c r="I4708" s="2" t="inlineStr">
        <is>
          <t>$</t>
        </is>
      </c>
      <c r="J4708" s="2">
        <f>HYPERLINK("https://app.astro.lead-studio.pro/product/bf20e27b-ba9f-40d0-8e49-aa0baf316a2a")</f>
      </c>
    </row>
    <row r="4709" spans="1:10" customHeight="0">
      <c r="A4709" s="2" t="inlineStr">
        <is>
          <t>Cетевое оборудование</t>
        </is>
      </c>
      <c r="B4709" s="2" t="inlineStr">
        <is>
          <t>SNR</t>
        </is>
      </c>
      <c r="C4709" s="2" t="inlineStr">
        <is>
          <t>SNR-S2985G-48T</t>
        </is>
      </c>
      <c r="D4709" s="2" t="inlineStr">
        <is>
          <t>Коммутатор SNR SNR-S2985G-48T (L2) 48x1Гбит/с 4SFP управляемый</t>
        </is>
      </c>
      <c r="E4709" s="2" t="inlineStr">
        <is>
          <t>+ </t>
        </is>
      </c>
      <c r="F4709" s="2" t="inlineStr">
        <is>
          <t>+ </t>
        </is>
      </c>
      <c r="H4709" s="2">
        <v>491</v>
      </c>
      <c r="I4709" s="2" t="inlineStr">
        <is>
          <t>$</t>
        </is>
      </c>
      <c r="J4709" s="2">
        <f>HYPERLINK("https://app.astro.lead-studio.pro/product/55da2565-505a-459e-b4a4-1d2ce23bca24")</f>
      </c>
    </row>
    <row r="4710" spans="1:10" customHeight="0">
      <c r="A4710" s="2" t="inlineStr">
        <is>
          <t>Cетевое оборудование</t>
        </is>
      </c>
      <c r="B4710" s="2" t="inlineStr">
        <is>
          <t>SNR</t>
        </is>
      </c>
      <c r="C4710" s="2" t="inlineStr">
        <is>
          <t>SNR-S2989G-24TX-POE</t>
        </is>
      </c>
      <c r="D4710" s="2" t="inlineStr">
        <is>
          <t>Коммутатор SNR SNR-S2989G-24TX-POE (L2+) 24x1Гбит/с 4SFP+ 24PoE 370W управляемый</t>
        </is>
      </c>
      <c r="E4710" s="2" t="inlineStr">
        <is>
          <t>+ </t>
        </is>
      </c>
      <c r="F4710" s="2" t="inlineStr">
        <is>
          <t>+ </t>
        </is>
      </c>
      <c r="H4710" s="2">
        <v>665</v>
      </c>
      <c r="I4710" s="2" t="inlineStr">
        <is>
          <t>$</t>
        </is>
      </c>
      <c r="J4710" s="2">
        <f>HYPERLINK("https://app.astro.lead-studio.pro/product/040051c6-0fd2-4614-a853-e2a33a561990")</f>
      </c>
    </row>
    <row r="4711" spans="1:10" customHeight="0">
      <c r="A4711" s="2" t="inlineStr">
        <is>
          <t>Cетевое оборудование</t>
        </is>
      </c>
      <c r="B4711" s="2" t="inlineStr">
        <is>
          <t>SNR</t>
        </is>
      </c>
      <c r="C4711" s="2" t="inlineStr">
        <is>
          <t>SNR-S2989G-24TX</t>
        </is>
      </c>
      <c r="D4711" s="2" t="inlineStr">
        <is>
          <t>Коммутатор SNR SNR-S2989G-24TX (L2+) 24x1Гбит/с 4SFP+ управляемый</t>
        </is>
      </c>
      <c r="E4711" s="2" t="inlineStr">
        <is>
          <t>+ </t>
        </is>
      </c>
      <c r="F4711" s="2" t="inlineStr">
        <is>
          <t>+ </t>
        </is>
      </c>
      <c r="H4711" s="2">
        <v>367</v>
      </c>
      <c r="I4711" s="2" t="inlineStr">
        <is>
          <t>$</t>
        </is>
      </c>
      <c r="J4711" s="2">
        <f>HYPERLINK("https://app.astro.lead-studio.pro/product/627d2adc-db38-40c5-94f5-38e75bc0fde9")</f>
      </c>
    </row>
    <row r="4712" spans="1:10" customHeight="0">
      <c r="A4712" s="2" t="inlineStr">
        <is>
          <t>Cетевое оборудование</t>
        </is>
      </c>
      <c r="B4712" s="2" t="inlineStr">
        <is>
          <t>SNR</t>
        </is>
      </c>
      <c r="C4712" s="2" t="inlineStr">
        <is>
          <t>SNR-S2989G-48TX-POE</t>
        </is>
      </c>
      <c r="D4712" s="2" t="inlineStr">
        <is>
          <t>Коммутатор SNR SNR-S2989G-48TX-POE (L2) 48x1Гбит/с 4SFP+ 48PoE 740W управляемый</t>
        </is>
      </c>
      <c r="E4712" s="2" t="inlineStr">
        <is>
          <t>+ </t>
        </is>
      </c>
      <c r="F4712" s="2" t="inlineStr">
        <is>
          <t>+ </t>
        </is>
      </c>
      <c r="H4712" s="2">
        <v>1186</v>
      </c>
      <c r="I4712" s="2" t="inlineStr">
        <is>
          <t>$</t>
        </is>
      </c>
      <c r="J4712" s="2">
        <f>HYPERLINK("https://app.astro.lead-studio.pro/product/ad7d19db-97f0-4711-878c-97061ddab914")</f>
      </c>
    </row>
    <row r="4713" spans="1:10" customHeight="0">
      <c r="A4713" s="2" t="inlineStr">
        <is>
          <t>Cетевое оборудование</t>
        </is>
      </c>
      <c r="B4713" s="2" t="inlineStr">
        <is>
          <t>SNR</t>
        </is>
      </c>
      <c r="C4713" s="2" t="inlineStr">
        <is>
          <t>SNR-S2989G-48TX</t>
        </is>
      </c>
      <c r="D4713" s="2" t="inlineStr">
        <is>
          <t>Коммутатор SNR SNR-S2989G-48TX (L2+) 48x1Гбит/с 4SFP+ управляемый</t>
        </is>
      </c>
      <c r="E4713" s="2" t="inlineStr">
        <is>
          <t>+ </t>
        </is>
      </c>
      <c r="F4713" s="2" t="inlineStr">
        <is>
          <t>+ </t>
        </is>
      </c>
      <c r="H4713" s="2">
        <v>660</v>
      </c>
      <c r="I4713" s="2" t="inlineStr">
        <is>
          <t>$</t>
        </is>
      </c>
      <c r="J4713" s="2">
        <f>HYPERLINK("https://app.astro.lead-studio.pro/product/91fae3ef-95a7-4bc1-8420-a26a900a2bcf")</f>
      </c>
    </row>
    <row r="4714" spans="1:10" customHeight="0">
      <c r="A4714" s="2" t="inlineStr">
        <is>
          <t>Cетевое оборудование</t>
        </is>
      </c>
      <c r="B4714" s="2" t="inlineStr">
        <is>
          <t>SNR</t>
        </is>
      </c>
      <c r="C4714" s="2" t="inlineStr">
        <is>
          <t>SNR-S2989G-8TX-POE</t>
        </is>
      </c>
      <c r="D4714" s="2" t="inlineStr">
        <is>
          <t>Коммутатор SNR SNR-S2989G-8TX-POE (L2+) 8x1Гбит/с 4SFP+ 8PoE 125W управляемый</t>
        </is>
      </c>
      <c r="E4714" s="2" t="inlineStr">
        <is>
          <t>+ </t>
        </is>
      </c>
      <c r="F4714" s="2" t="inlineStr">
        <is>
          <t>+ </t>
        </is>
      </c>
      <c r="H4714" s="2">
        <v>355</v>
      </c>
      <c r="I4714" s="2" t="inlineStr">
        <is>
          <t>$</t>
        </is>
      </c>
      <c r="J4714" s="2">
        <f>HYPERLINK("https://app.astro.lead-studio.pro/product/506246e0-bef5-42fb-a672-101887274e8c")</f>
      </c>
    </row>
    <row r="4715" spans="1:10" customHeight="0">
      <c r="A4715" s="2" t="inlineStr">
        <is>
          <t>Cетевое оборудование</t>
        </is>
      </c>
      <c r="B4715" s="2" t="inlineStr">
        <is>
          <t>SNR</t>
        </is>
      </c>
      <c r="C4715" s="2" t="inlineStr">
        <is>
          <t>SNR-S2995G-48FX</t>
        </is>
      </c>
      <c r="D4715" s="2" t="inlineStr">
        <is>
          <t>Коммутатор SNR SNR-S2995G-48FX (L3) 48SFP 4SFP+ управляемый</t>
        </is>
      </c>
      <c r="E4715" s="2" t="inlineStr">
        <is>
          <t>+ </t>
        </is>
      </c>
      <c r="F4715" s="2" t="inlineStr">
        <is>
          <t>+ </t>
        </is>
      </c>
      <c r="H4715" s="2">
        <v>1095</v>
      </c>
      <c r="I4715" s="2" t="inlineStr">
        <is>
          <t>$</t>
        </is>
      </c>
      <c r="J4715" s="2">
        <f>HYPERLINK("https://app.astro.lead-studio.pro/product/9c0cb9f9-7958-409b-b0e4-f55c3499c905")</f>
      </c>
    </row>
    <row r="4716" spans="1:10" customHeight="0">
      <c r="A4716" s="2" t="inlineStr">
        <is>
          <t>Cетевое оборудование</t>
        </is>
      </c>
      <c r="B4716" s="2" t="inlineStr">
        <is>
          <t>SNR</t>
        </is>
      </c>
      <c r="C4716" s="2" t="inlineStr">
        <is>
          <t>SNR-S5210G-24TX-POE</t>
        </is>
      </c>
      <c r="D4716" s="2" t="inlineStr">
        <is>
          <t>Коммутатор SNR SNR-S5210G-24TX-POE (L2+) 24x1Гбит/с 4SFP+ 24PoE 370W управляемый</t>
        </is>
      </c>
      <c r="E4716" s="2" t="inlineStr">
        <is>
          <t>+ </t>
        </is>
      </c>
      <c r="F4716" s="2" t="inlineStr">
        <is>
          <t>+ </t>
        </is>
      </c>
      <c r="H4716" s="2">
        <v>646</v>
      </c>
      <c r="I4716" s="2" t="inlineStr">
        <is>
          <t>$</t>
        </is>
      </c>
      <c r="J4716" s="2">
        <f>HYPERLINK("https://app.astro.lead-studio.pro/product/360bce51-c4e9-4016-962c-fc77903a05ac")</f>
      </c>
    </row>
    <row r="4717" spans="1:10" customHeight="0">
      <c r="A4717" s="2" t="inlineStr">
        <is>
          <t>Cетевое оборудование</t>
        </is>
      </c>
      <c r="B4717" s="2" t="inlineStr">
        <is>
          <t>T-KOM</t>
        </is>
      </c>
      <c r="C4717" s="2" t="inlineStr">
        <is>
          <t>ТГК-151-24/4Д-2П</t>
        </is>
      </c>
      <c r="D4717" s="2" t="inlineStr">
        <is>
          <t>Коммутатор Т-Ком ТГК-151-24/4Д-2П (L2+) 4SFP+ 24PoE+ 370W настраиваемый</t>
        </is>
      </c>
      <c r="E4717" s="2" t="inlineStr">
        <is>
          <t>+ </t>
        </is>
      </c>
      <c r="F4717" s="2" t="inlineStr">
        <is>
          <t>+ </t>
        </is>
      </c>
      <c r="H4717" s="2">
        <v>2682</v>
      </c>
      <c r="I4717" s="2" t="inlineStr">
        <is>
          <t>$</t>
        </is>
      </c>
      <c r="J4717" s="2">
        <f>HYPERLINK("https://app.astro.lead-studio.pro/product/78d2a6a2-e29e-4929-b3eb-5fd820a31073")</f>
      </c>
    </row>
    <row r="4718" spans="1:10" customHeight="0">
      <c r="A4718" s="2" t="inlineStr">
        <is>
          <t>Cетевое оборудование</t>
        </is>
      </c>
      <c r="B4718" s="2" t="inlineStr">
        <is>
          <t>ZYXEL</t>
        </is>
      </c>
      <c r="C4718" s="2" t="inlineStr">
        <is>
          <t>GS1350-12HP-EU0101F</t>
        </is>
      </c>
      <c r="D4718" s="2" t="inlineStr">
        <is>
          <t>Коммутатор Zyxel GS1350-12HP-EU0101F (L2) 10x1Гбит/с 2SFP 8PoE+ 130W управляемый</t>
        </is>
      </c>
      <c r="E4718" s="2" t="inlineStr">
        <is>
          <t>+ </t>
        </is>
      </c>
      <c r="F4718" s="2" t="inlineStr">
        <is>
          <t>+ </t>
        </is>
      </c>
      <c r="H4718" s="2">
        <v>407</v>
      </c>
      <c r="I4718" s="2" t="inlineStr">
        <is>
          <t>$</t>
        </is>
      </c>
      <c r="J4718" s="2">
        <f>HYPERLINK("https://app.astro.lead-studio.pro/product/98f621f4-9478-4ce4-888c-88688f1bb3bb")</f>
      </c>
    </row>
    <row r="4719" spans="1:10" customHeight="0">
      <c r="A4719" s="2" t="inlineStr">
        <is>
          <t>Cетевое оборудование</t>
        </is>
      </c>
      <c r="B4719" s="2" t="inlineStr">
        <is>
          <t>ZYXEL</t>
        </is>
      </c>
      <c r="C4719" s="2" t="inlineStr">
        <is>
          <t>GS1350-18HP-EU0101F</t>
        </is>
      </c>
      <c r="D4719" s="2" t="inlineStr">
        <is>
          <t>Коммутатор Zyxel GS1350-18HP-EU0101F (L2) 16x1Гбит/с 2xКомбо(1000BASE-T/SFP) 16PoE+ 250W управляемый</t>
        </is>
      </c>
      <c r="E4719" s="2" t="inlineStr">
        <is>
          <t>+ </t>
        </is>
      </c>
      <c r="F4719" s="2" t="inlineStr">
        <is>
          <t>+ </t>
        </is>
      </c>
      <c r="H4719" s="2">
        <v>577</v>
      </c>
      <c r="I4719" s="2" t="inlineStr">
        <is>
          <t>$</t>
        </is>
      </c>
      <c r="J4719" s="2">
        <f>HYPERLINK("https://app.astro.lead-studio.pro/product/92eb172c-415b-4cc6-8931-e74f69df7562")</f>
      </c>
    </row>
    <row r="4720" spans="1:10" customHeight="0">
      <c r="A4720" s="2" t="inlineStr">
        <is>
          <t>Cетевое оборудование</t>
        </is>
      </c>
      <c r="B4720" s="2" t="inlineStr">
        <is>
          <t>ZYXEL</t>
        </is>
      </c>
      <c r="C4720" s="2" t="inlineStr">
        <is>
          <t>GS192048HPV2-EU0101F</t>
        </is>
      </c>
      <c r="D4720" s="2" t="inlineStr">
        <is>
          <t>Коммутатор Zyxel GS192048HPV2-EU0101F (L2) 44x1Гбит/с 4xКомбо(1000BASE-T/SFP) 2SFP 48PoE+ 375W управляемый</t>
        </is>
      </c>
      <c r="E4720" s="2" t="inlineStr">
        <is>
          <t>+ </t>
        </is>
      </c>
      <c r="F4720" s="2" t="inlineStr">
        <is>
          <t>+ </t>
        </is>
      </c>
      <c r="H4720" s="2">
        <v>1111</v>
      </c>
      <c r="I4720" s="2" t="inlineStr">
        <is>
          <t>$</t>
        </is>
      </c>
      <c r="J4720" s="2">
        <f>HYPERLINK("https://app.astro.lead-studio.pro/product/caaaaed4-1dec-4201-8781-c5d3549e75e6")</f>
      </c>
    </row>
    <row r="4721" spans="1:10" customHeight="0">
      <c r="A4721" s="2" t="inlineStr">
        <is>
          <t>Cетевое оборудование</t>
        </is>
      </c>
      <c r="B4721" s="2" t="inlineStr">
        <is>
          <t>ZYXEL</t>
        </is>
      </c>
      <c r="C4721" s="2" t="inlineStr">
        <is>
          <t>GS2220-10-EU0101F</t>
        </is>
      </c>
      <c r="D4721" s="2" t="inlineStr">
        <is>
          <t>Коммутатор Zyxel GS2220-10-EU0101F (L2) 10x1Гбит/с 2xКомбо(1000BASE-T/SFP) управляемый</t>
        </is>
      </c>
      <c r="E4721" s="2" t="inlineStr">
        <is>
          <t>+ </t>
        </is>
      </c>
      <c r="F4721" s="2" t="inlineStr">
        <is>
          <t>+ </t>
        </is>
      </c>
      <c r="H4721" s="2">
        <v>326</v>
      </c>
      <c r="I4721" s="2" t="inlineStr">
        <is>
          <t>$</t>
        </is>
      </c>
      <c r="J4721" s="2">
        <f>HYPERLINK("https://app.astro.lead-studio.pro/product/275f7470-e923-4de2-b5e9-e534609b7fa2")</f>
      </c>
    </row>
    <row r="4722" spans="1:10" customHeight="0">
      <c r="A4722" s="2" t="inlineStr">
        <is>
          <t>Cетевое оборудование</t>
        </is>
      </c>
      <c r="B4722" s="2" t="inlineStr">
        <is>
          <t>ZYXEL</t>
        </is>
      </c>
      <c r="C4722" s="2" t="inlineStr">
        <is>
          <t>GS2220-10HP-EU0101F</t>
        </is>
      </c>
      <c r="D4722" s="2" t="inlineStr">
        <is>
          <t>Коммутатор Zyxel GS2220-10HP-EU0101F (L2) 8x1Гбит/с 2xКомбо(1000BASE-T/SFP) 8PoE+ 180W управляемый</t>
        </is>
      </c>
      <c r="E4722" s="2" t="inlineStr">
        <is>
          <t>+ </t>
        </is>
      </c>
      <c r="F4722" s="2" t="inlineStr">
        <is>
          <t>+ </t>
        </is>
      </c>
      <c r="H4722" s="2">
        <v>628</v>
      </c>
      <c r="I4722" s="2" t="inlineStr">
        <is>
          <t>$</t>
        </is>
      </c>
      <c r="J4722" s="2">
        <f>HYPERLINK("https://app.astro.lead-studio.pro/product/16e39288-c21c-4624-b1e4-79e5a5666a19")</f>
      </c>
    </row>
    <row r="4723" spans="1:10" customHeight="0">
      <c r="A4723" s="2" t="inlineStr">
        <is>
          <t>Cетевое оборудование</t>
        </is>
      </c>
      <c r="B4723" s="2" t="inlineStr">
        <is>
          <t>ZYXEL</t>
        </is>
      </c>
      <c r="C4723" s="2" t="inlineStr">
        <is>
          <t>XGS2220-54-EU0101F</t>
        </is>
      </c>
      <c r="D4723" s="2" t="inlineStr">
        <is>
          <t>Коммутатор Zyxel NebulaFlex Pro XGS2220-54-EU0101F (L3) 48x1Гбит/с 2x10Гбит/с 4SFP+ управляемый</t>
        </is>
      </c>
      <c r="E4723" s="2" t="inlineStr">
        <is>
          <t>+ </t>
        </is>
      </c>
      <c r="F4723" s="2" t="inlineStr">
        <is>
          <t>+ </t>
        </is>
      </c>
      <c r="H4723" s="2">
        <v>1523</v>
      </c>
      <c r="I4723" s="2" t="inlineStr">
        <is>
          <t>$</t>
        </is>
      </c>
      <c r="J4723" s="2">
        <f>HYPERLINK("https://app.astro.lead-studio.pro/product/eec8d3de-98b5-47db-bcca-5fac64a17034")</f>
      </c>
    </row>
    <row r="4724" spans="1:10" customHeight="0">
      <c r="A4724" s="2" t="inlineStr">
        <is>
          <t>Cетевое оборудование</t>
        </is>
      </c>
      <c r="B4724" s="2" t="inlineStr">
        <is>
          <t>ZYXEL</t>
        </is>
      </c>
      <c r="C4724" s="2" t="inlineStr">
        <is>
          <t>XGS2220-54FP-EU0101F</t>
        </is>
      </c>
      <c r="D4724" s="2" t="inlineStr">
        <is>
          <t>Коммутатор Zyxel NebulaFlex Pro XGS2220-54FP-EU0101F (L3) 48x1Гбит/с 2x10Гбит/с 4SFP+ 40PoE+ 10PoE++ 960W управляемый</t>
        </is>
      </c>
      <c r="E4724" s="2" t="inlineStr">
        <is>
          <t>+ </t>
        </is>
      </c>
      <c r="F4724" s="2" t="inlineStr">
        <is>
          <t>+ </t>
        </is>
      </c>
      <c r="H4724" s="2">
        <v>2611</v>
      </c>
      <c r="I4724" s="2" t="inlineStr">
        <is>
          <t>$</t>
        </is>
      </c>
      <c r="J4724" s="2">
        <f>HYPERLINK("https://app.astro.lead-studio.pro/product/d9a0221f-0537-4987-a697-075160faeb71")</f>
      </c>
    </row>
    <row r="4725" spans="1:10" customHeight="0">
      <c r="A4725" s="2" t="inlineStr">
        <is>
          <t>Cетевое оборудование</t>
        </is>
      </c>
      <c r="B4725" s="2" t="inlineStr">
        <is>
          <t>ZYXEL</t>
        </is>
      </c>
      <c r="C4725" s="2" t="inlineStr">
        <is>
          <t>XGS2220-30-EU0101F</t>
        </is>
      </c>
      <c r="D4725" s="2" t="inlineStr">
        <is>
          <t>Коммутатор Zyxel XGS2220-30-EU0101F (L3) 24x1Гбит/с 2x10Гбит/с 4SFP+ управляемый</t>
        </is>
      </c>
      <c r="E4725" s="2" t="inlineStr">
        <is>
          <t>+ </t>
        </is>
      </c>
      <c r="F4725" s="2" t="inlineStr">
        <is>
          <t>+ </t>
        </is>
      </c>
      <c r="H4725" s="2">
        <v>1171</v>
      </c>
      <c r="I4725" s="2" t="inlineStr">
        <is>
          <t>$</t>
        </is>
      </c>
      <c r="J4725" s="2">
        <f>HYPERLINK("https://app.astro.lead-studio.pro/product/72e01466-e3e2-46a9-9004-353e6db0f39c")</f>
      </c>
    </row>
    <row r="4726" spans="1:10" customHeight="0">
      <c r="A4726" s="2" t="inlineStr">
        <is>
          <t>Cетевое оборудование</t>
        </is>
      </c>
      <c r="B4726" s="2" t="inlineStr">
        <is>
          <t>ZYXEL</t>
        </is>
      </c>
      <c r="C4726" s="2" t="inlineStr">
        <is>
          <t>XGS2220-30F-EU0101F</t>
        </is>
      </c>
      <c r="D4726" s="2" t="inlineStr">
        <is>
          <t>Коммутатор Zyxel XGS2220-30F-EU0101F (L3) 2x10Гбит/с 24SFP 4SFP+ управляемый</t>
        </is>
      </c>
      <c r="E4726" s="2" t="inlineStr">
        <is>
          <t>+ </t>
        </is>
      </c>
      <c r="F4726" s="2" t="inlineStr">
        <is>
          <t>+ </t>
        </is>
      </c>
      <c r="H4726" s="2">
        <v>1505</v>
      </c>
      <c r="I4726" s="2" t="inlineStr">
        <is>
          <t>$</t>
        </is>
      </c>
      <c r="J4726" s="2">
        <f>HYPERLINK("https://app.astro.lead-studio.pro/product/47e2f872-a505-47df-bf87-9dd181799e58")</f>
      </c>
    </row>
    <row r="4727" spans="1:10" customHeight="0">
      <c r="A4727" s="2" t="inlineStr">
        <is>
          <t>Cетевое оборудование</t>
        </is>
      </c>
      <c r="B4727" s="2" t="inlineStr">
        <is>
          <t>ZYXEL</t>
        </is>
      </c>
      <c r="C4727" s="2" t="inlineStr">
        <is>
          <t>XGS2220-30HP-EU0101F</t>
        </is>
      </c>
      <c r="D4727" s="2" t="inlineStr">
        <is>
          <t>Коммутатор Zyxel XGS2220-30HP-EU0101F (L3) 24x1Гбит/с 2x10Гбит/с 4SFP+ 16PoE+ 8PoE++ 400W управляемый</t>
        </is>
      </c>
      <c r="E4727" s="2" t="inlineStr">
        <is>
          <t>+ </t>
        </is>
      </c>
      <c r="F4727" s="2" t="inlineStr">
        <is>
          <t>+ </t>
        </is>
      </c>
      <c r="H4727" s="2">
        <v>1590</v>
      </c>
      <c r="I4727" s="2" t="inlineStr">
        <is>
          <t>$</t>
        </is>
      </c>
      <c r="J4727" s="2">
        <f>HYPERLINK("https://app.astro.lead-studio.pro/product/297b516e-b868-4240-ae01-b4529513fff8")</f>
      </c>
    </row>
    <row r="4728" spans="1:10" customHeight="0">
      <c r="A4728" s="2" t="inlineStr">
        <is>
          <t>Cетевое оборудование</t>
        </is>
      </c>
      <c r="B4728" s="2" t="inlineStr">
        <is>
          <t>ZYXEL</t>
        </is>
      </c>
      <c r="C4728" s="2" t="inlineStr">
        <is>
          <t>XMG1915-10EP-EU0101F</t>
        </is>
      </c>
      <c r="D4728" s="2" t="inlineStr">
        <is>
          <t>Коммутатор Zyxel XMG1915-10EP-EU0101F (L2+) 8x2.5Гбит/с 2SFP+ 8PoE++ 130W управляемый</t>
        </is>
      </c>
      <c r="E4728" s="2" t="inlineStr">
        <is>
          <t>+ </t>
        </is>
      </c>
      <c r="F4728" s="2" t="inlineStr">
        <is>
          <t>+ </t>
        </is>
      </c>
      <c r="H4728" s="2">
        <v>500</v>
      </c>
      <c r="I4728" s="2" t="inlineStr">
        <is>
          <t>$</t>
        </is>
      </c>
      <c r="J4728" s="2">
        <f>HYPERLINK("https://app.astro.lead-studio.pro/product/19c119bf-748f-4228-a5be-782d35f0f94a")</f>
      </c>
    </row>
    <row r="4729" spans="1:10" customHeight="0">
      <c r="A4729" s="2" t="inlineStr">
        <is>
          <t>Cетевое оборудование</t>
        </is>
      </c>
      <c r="B4729" s="2" t="inlineStr">
        <is>
          <t>ZYXEL</t>
        </is>
      </c>
      <c r="C4729" s="2" t="inlineStr">
        <is>
          <t>XS1930-12HP-ZZ0101F</t>
        </is>
      </c>
      <c r="D4729" s="2" t="inlineStr">
        <is>
          <t>Коммутатор Zyxel XS1930-12HP-ZZ0101F (L2+) 10x10Гбит/с 2SFP+ 8PoE++ 375W управляемый</t>
        </is>
      </c>
      <c r="E4729" s="2" t="inlineStr">
        <is>
          <t>+ </t>
        </is>
      </c>
      <c r="F4729" s="2" t="inlineStr">
        <is>
          <t>+ </t>
        </is>
      </c>
      <c r="H4729" s="2">
        <v>1325</v>
      </c>
      <c r="I4729" s="2" t="inlineStr">
        <is>
          <t>$</t>
        </is>
      </c>
      <c r="J4729" s="2">
        <f>HYPERLINK("https://app.astro.lead-studio.pro/product/52d861d4-4916-48cc-8be5-afe599d90103")</f>
      </c>
    </row>
    <row r="4730" spans="1:10" customHeight="0">
      <c r="A4730" s="2" t="inlineStr">
        <is>
          <t>Cетевое оборудование</t>
        </is>
      </c>
      <c r="B4730" s="2" t="inlineStr">
        <is>
          <t>ASUS</t>
        </is>
      </c>
      <c r="C4730" s="2" t="inlineStr">
        <is>
          <t>GT-AX11000</t>
        </is>
      </c>
      <c r="D4730" s="2" t="inlineStr">
        <is>
          <t>Роутер беспроводной Asus GT-AX11000 AX11000 10/100/1000BASE-TX/4G ready черный</t>
        </is>
      </c>
      <c r="E4730" s="2" t="inlineStr">
        <is>
          <t>+ </t>
        </is>
      </c>
      <c r="F4730" s="2" t="inlineStr">
        <is>
          <t>+ </t>
        </is>
      </c>
      <c r="H4730" s="2">
        <v>452</v>
      </c>
      <c r="I4730" s="2" t="inlineStr">
        <is>
          <t>$</t>
        </is>
      </c>
      <c r="J4730" s="2">
        <f>HYPERLINK("https://app.astro.lead-studio.pro/product/6328abee-f797-4f27-b7e4-540737ae2776")</f>
      </c>
    </row>
    <row r="4731" spans="1:10" customHeight="0">
      <c r="A4731" s="2" t="inlineStr">
        <is>
          <t>Cетевое оборудование</t>
        </is>
      </c>
      <c r="B4731" s="2" t="inlineStr">
        <is>
          <t>ASUS</t>
        </is>
      </c>
      <c r="C4731" s="2" t="inlineStr">
        <is>
          <t>GT-AXE11000</t>
        </is>
      </c>
      <c r="D4731" s="2" t="inlineStr">
        <is>
          <t>Роутер беспроводной Asus GT-AXE11000 AXE11000 100/1000/2500BASE-T черный</t>
        </is>
      </c>
      <c r="E4731" s="2" t="inlineStr">
        <is>
          <t>+ </t>
        </is>
      </c>
      <c r="F4731" s="2" t="inlineStr">
        <is>
          <t>+ </t>
        </is>
      </c>
      <c r="H4731" s="2">
        <v>488</v>
      </c>
      <c r="I4731" s="2" t="inlineStr">
        <is>
          <t>$</t>
        </is>
      </c>
      <c r="J4731" s="2">
        <f>HYPERLINK("https://app.astro.lead-studio.pro/product/26ddf5ae-ec20-41ad-a1ad-83661dd30e64")</f>
      </c>
    </row>
    <row r="4732" spans="1:10" customHeight="0">
      <c r="A4732" s="2" t="inlineStr">
        <is>
          <t>Cетевое оборудование</t>
        </is>
      </c>
      <c r="B4732" s="2" t="inlineStr">
        <is>
          <t>ASUS</t>
        </is>
      </c>
      <c r="C4732" s="2" t="inlineStr">
        <is>
          <t>GT-AXE16000</t>
        </is>
      </c>
      <c r="D4732" s="2" t="inlineStr">
        <is>
          <t>Роутер беспроводной Asus GT-AXE16000 AXE16000 10GBASE-X черный</t>
        </is>
      </c>
      <c r="E4732" s="2" t="inlineStr">
        <is>
          <t>+ </t>
        </is>
      </c>
      <c r="F4732" s="2" t="inlineStr">
        <is>
          <t>+ </t>
        </is>
      </c>
      <c r="H4732" s="2">
        <v>725</v>
      </c>
      <c r="I4732" s="2" t="inlineStr">
        <is>
          <t>$</t>
        </is>
      </c>
      <c r="J4732" s="2">
        <f>HYPERLINK("https://app.astro.lead-studio.pro/product/bbc22f60-be7c-4858-b00c-892de69d3fba")</f>
      </c>
    </row>
    <row r="4733" spans="1:10" customHeight="0">
      <c r="A4733" s="2" t="inlineStr">
        <is>
          <t>Cетевое оборудование</t>
        </is>
      </c>
      <c r="B4733" s="2" t="inlineStr">
        <is>
          <t>ASUS</t>
        </is>
      </c>
      <c r="C4733" s="2" t="inlineStr">
        <is>
          <t>RT-AX89X</t>
        </is>
      </c>
      <c r="D4733" s="2" t="inlineStr">
        <is>
          <t>Роутер беспроводной Asus RT-AX89X AX6000 100/1000/10000BASE-T черный</t>
        </is>
      </c>
      <c r="E4733" s="2" t="inlineStr">
        <is>
          <t>+ </t>
        </is>
      </c>
      <c r="F4733" s="2" t="inlineStr">
        <is>
          <t>+ </t>
        </is>
      </c>
      <c r="H4733" s="2">
        <v>358</v>
      </c>
      <c r="I4733" s="2" t="inlineStr">
        <is>
          <t>$</t>
        </is>
      </c>
      <c r="J4733" s="2">
        <f>HYPERLINK("https://app.astro.lead-studio.pro/product/e55ea1ac-db58-4500-ad12-c38db487a802")</f>
      </c>
    </row>
    <row r="4734" spans="1:10" customHeight="0">
      <c r="A4734" s="2" t="inlineStr">
        <is>
          <t>Cетевое оборудование</t>
        </is>
      </c>
      <c r="B4734" s="2" t="inlineStr">
        <is>
          <t>D-LINK</t>
        </is>
      </c>
      <c r="C4734" s="2" t="inlineStr">
        <is>
          <t>DSA-2003/A</t>
        </is>
      </c>
      <c r="D4734" s="2" t="inlineStr">
        <is>
          <t>Маршрутизатор D-Link DSA-2003/A 10/100/1000BASE-T черный</t>
        </is>
      </c>
      <c r="E4734" s="2" t="inlineStr">
        <is>
          <t>+ </t>
        </is>
      </c>
      <c r="F4734" s="2" t="inlineStr">
        <is>
          <t>+ </t>
        </is>
      </c>
      <c r="H4734" s="2">
        <v>508</v>
      </c>
      <c r="I4734" s="2" t="inlineStr">
        <is>
          <t>$</t>
        </is>
      </c>
      <c r="J4734" s="2">
        <f>HYPERLINK("https://app.astro.lead-studio.pro/product/2b76c6c1-c13e-492b-9288-b87f50e969e0")</f>
      </c>
    </row>
    <row r="4735" spans="1:10" customHeight="0">
      <c r="A4735" s="2" t="inlineStr">
        <is>
          <t>Cетевое оборудование</t>
        </is>
      </c>
      <c r="B4735" s="2" t="inlineStr">
        <is>
          <t>D-LINK</t>
        </is>
      </c>
      <c r="C4735" s="2" t="inlineStr">
        <is>
          <t>DSA-2208X/A1A</t>
        </is>
      </c>
      <c r="D4735" s="2" t="inlineStr">
        <is>
          <t>Маршрутизатор D-Link DSA-2208X/A1A 10/100/1000BASE-T черный</t>
        </is>
      </c>
      <c r="E4735" s="2" t="inlineStr">
        <is>
          <t>+ </t>
        </is>
      </c>
      <c r="F4735" s="2" t="inlineStr">
        <is>
          <t>+ </t>
        </is>
      </c>
      <c r="H4735" s="2">
        <v>1069</v>
      </c>
      <c r="I4735" s="2" t="inlineStr">
        <is>
          <t>$</t>
        </is>
      </c>
      <c r="J4735" s="2">
        <f>HYPERLINK("https://app.astro.lead-studio.pro/product/4d7a67e6-148e-4ac7-82bc-9bffd15002fe")</f>
      </c>
    </row>
    <row r="4736" spans="1:10" customHeight="0">
      <c r="A4736" s="2" t="inlineStr">
        <is>
          <t>Cетевое оборудование</t>
        </is>
      </c>
      <c r="B4736" s="2" t="inlineStr">
        <is>
          <t>MERCUSYS</t>
        </is>
      </c>
      <c r="C4736" s="2" t="inlineStr">
        <is>
          <t>HALO H90X(3-PACK)</t>
        </is>
      </c>
      <c r="D4736" s="2" t="inlineStr">
        <is>
          <t>Бесшовный Mesh роутер Mercusys Halo H90X(3-pack) AX6000 10/100/1000BASE-TX белый (упак.:3шт)</t>
        </is>
      </c>
      <c r="E4736" s="2" t="inlineStr">
        <is>
          <t>+ </t>
        </is>
      </c>
      <c r="F4736" s="2" t="inlineStr">
        <is>
          <t>+ </t>
        </is>
      </c>
      <c r="H4736" s="2">
        <v>332</v>
      </c>
      <c r="I4736" s="2" t="inlineStr">
        <is>
          <t>$</t>
        </is>
      </c>
      <c r="J4736" s="2">
        <f>HYPERLINK("https://app.astro.lead-studio.pro/product/bdb1a149-27b4-455d-b7f4-dc5d2c5ec456")</f>
      </c>
    </row>
    <row r="4737" spans="1:10" customHeight="0">
      <c r="A4737" s="2" t="inlineStr">
        <is>
          <t>Cетевое оборудование</t>
        </is>
      </c>
      <c r="B4737" s="2" t="inlineStr">
        <is>
          <t>MIKROTIK</t>
        </is>
      </c>
      <c r="C4737" s="2" t="inlineStr">
        <is>
          <t>RB5009UPR+S+IN</t>
        </is>
      </c>
      <c r="D4737" s="2" t="inlineStr">
        <is>
          <t>Маршрутизатор MikroTik RB5009UPr+S+IN 10/100/1000 компл.:устройство/крепления/адаптер черный</t>
        </is>
      </c>
      <c r="E4737" s="2" t="inlineStr">
        <is>
          <t>+ </t>
        </is>
      </c>
      <c r="F4737" s="2" t="inlineStr">
        <is>
          <t>+ </t>
        </is>
      </c>
      <c r="H4737" s="2">
        <v>405</v>
      </c>
      <c r="I4737" s="2" t="inlineStr">
        <is>
          <t>$</t>
        </is>
      </c>
      <c r="J4737" s="2">
        <f>HYPERLINK("https://app.astro.lead-studio.pro/product/bc0c446c-08ef-496f-b98c-cc19d78c933b")</f>
      </c>
    </row>
    <row r="4738" spans="1:10" customHeight="0">
      <c r="A4738" s="2" t="inlineStr">
        <is>
          <t>Cетевое оборудование</t>
        </is>
      </c>
      <c r="B4738" s="2" t="inlineStr">
        <is>
          <t>MIKROTIK</t>
        </is>
      </c>
      <c r="C4738" s="2" t="inlineStr">
        <is>
          <t>RB1100X4</t>
        </is>
      </c>
      <c r="D4738" s="2" t="inlineStr">
        <is>
          <t>Роутер MikroTik RB1100AHX4 (RB1100X4) 10/100/1000BASE-TX серый</t>
        </is>
      </c>
      <c r="E4738" s="2" t="inlineStr">
        <is>
          <t>+ </t>
        </is>
      </c>
      <c r="F4738" s="2" t="inlineStr">
        <is>
          <t>+ </t>
        </is>
      </c>
      <c r="H4738" s="2">
        <v>381</v>
      </c>
      <c r="I4738" s="2" t="inlineStr">
        <is>
          <t>$</t>
        </is>
      </c>
      <c r="J4738" s="2">
        <f>HYPERLINK("https://app.astro.lead-studio.pro/product/c585b2d0-956f-435f-b6a8-4f72458eedaf")</f>
      </c>
    </row>
    <row r="4739" spans="1:10" customHeight="0">
      <c r="A4739" s="2" t="inlineStr">
        <is>
          <t>Cетевое оборудование</t>
        </is>
      </c>
      <c r="B4739" s="2" t="inlineStr">
        <is>
          <t>MIKROTIK</t>
        </is>
      </c>
      <c r="C4739" s="2" t="inlineStr">
        <is>
          <t>RB1100DX4</t>
        </is>
      </c>
      <c r="D4739" s="2" t="inlineStr">
        <is>
          <t>Роутер MikroTik RB1100AHx4 Dude Edition (RB1100DX4) 10/100/1000BASE-TX серый</t>
        </is>
      </c>
      <c r="E4739" s="2" t="inlineStr">
        <is>
          <t>+ </t>
        </is>
      </c>
      <c r="F4739" s="2" t="inlineStr">
        <is>
          <t>+ </t>
        </is>
      </c>
      <c r="H4739" s="2">
        <v>439</v>
      </c>
      <c r="I4739" s="2" t="inlineStr">
        <is>
          <t>$</t>
        </is>
      </c>
      <c r="J4739" s="2">
        <f>HYPERLINK("https://app.astro.lead-studio.pro/product/177c98cb-b15a-40b6-a4ec-d9f076499129")</f>
      </c>
    </row>
    <row r="4740" spans="1:10" customHeight="0">
      <c r="A4740" s="2" t="inlineStr">
        <is>
          <t>Cетевое оборудование</t>
        </is>
      </c>
      <c r="B4740" s="2" t="inlineStr">
        <is>
          <t>MIKROTIK</t>
        </is>
      </c>
      <c r="C4740" s="2" t="inlineStr">
        <is>
          <t>RB4011IGS+5HACQ2HND-IN</t>
        </is>
      </c>
      <c r="D4740" s="2" t="inlineStr">
        <is>
          <t>Роутер беспроводной MikroTik RB4011iGS+5HacQ2HnD-IN AC2000 10/100/1000BASE-TX/SFP+ черный</t>
        </is>
      </c>
      <c r="E4740" s="2" t="inlineStr">
        <is>
          <t>+ </t>
        </is>
      </c>
      <c r="F4740" s="2" t="inlineStr">
        <is>
          <t>+ </t>
        </is>
      </c>
      <c r="H4740" s="2">
        <v>337</v>
      </c>
      <c r="I4740" s="2" t="inlineStr">
        <is>
          <t>$</t>
        </is>
      </c>
      <c r="J4740" s="2">
        <f>HYPERLINK("https://app.astro.lead-studio.pro/product/0ded38ba-5649-4f24-928c-9f89d63be565")</f>
      </c>
    </row>
    <row r="4741" spans="1:10" customHeight="0">
      <c r="A4741" s="2" t="inlineStr">
        <is>
          <t>Cетевое оборудование</t>
        </is>
      </c>
      <c r="B4741" s="2" t="inlineStr">
        <is>
          <t>TP-LINK</t>
        </is>
      </c>
      <c r="C4741" s="2" t="inlineStr">
        <is>
          <t>OC300</t>
        </is>
      </c>
      <c r="D4741" s="2" t="inlineStr">
        <is>
          <t>Контроллер TP-Link Omada OC300 10/100/1000BASE-TX черный</t>
        </is>
      </c>
      <c r="E4741" s="2" t="inlineStr">
        <is>
          <t>+ </t>
        </is>
      </c>
      <c r="F4741" s="2" t="inlineStr">
        <is>
          <t>+ </t>
        </is>
      </c>
      <c r="H4741" s="2">
        <v>332</v>
      </c>
      <c r="I4741" s="2" t="inlineStr">
        <is>
          <t>$</t>
        </is>
      </c>
      <c r="J4741" s="2">
        <f>HYPERLINK("https://app.astro.lead-studio.pro/product/1ce3ce62-7cfa-4865-9f71-fb1de98b7356")</f>
      </c>
    </row>
    <row r="4742" spans="1:10" customHeight="0">
      <c r="A4742" s="2" t="inlineStr">
        <is>
          <t>Cетевое оборудование</t>
        </is>
      </c>
      <c r="B4742" s="2" t="inlineStr">
        <is>
          <t>B4COM</t>
        </is>
      </c>
      <c r="C4742" s="2" t="inlineStr">
        <is>
          <t>B4T-SN1225</t>
        </is>
      </c>
      <c r="D4742" s="2" t="inlineStr">
        <is>
          <t>Сетевой адаптер 25G Ethernet B4Com SmartNIC SN1225 B4T-SN1225 PCI Express x16</t>
        </is>
      </c>
      <c r="E4742" s="2" t="inlineStr">
        <is>
          <t>+ </t>
        </is>
      </c>
      <c r="F4742" s="2" t="inlineStr">
        <is>
          <t>+ </t>
        </is>
      </c>
      <c r="H4742" s="2">
        <v>6942</v>
      </c>
      <c r="I4742" s="2" t="inlineStr">
        <is>
          <t>$</t>
        </is>
      </c>
      <c r="J4742" s="2">
        <f>HYPERLINK("https://app.astro.lead-studio.pro/product/9aea4427-e87f-467c-b1e0-1712052a5039")</f>
      </c>
    </row>
    <row r="4743" spans="1:10" customHeight="0">
      <c r="A4743" s="2" t="inlineStr">
        <is>
          <t>Cетевое оборудование</t>
        </is>
      </c>
      <c r="B4743" s="2" t="inlineStr">
        <is>
          <t>ZYXEL</t>
        </is>
      </c>
      <c r="C4743" s="2" t="inlineStr">
        <is>
          <t>USGFLEX100AX-EUCI01F</t>
        </is>
      </c>
      <c r="D4743" s="2" t="inlineStr">
        <is>
          <t>Межсетевой экран Zyxel USG Flex 100AX (USGFLEX100AX-EUCI01F) AX1800 10/100/1000BASE-TX серебристый</t>
        </is>
      </c>
      <c r="E4743" s="2" t="inlineStr">
        <is>
          <t>+ </t>
        </is>
      </c>
      <c r="F4743" s="2" t="inlineStr">
        <is>
          <t>+ </t>
        </is>
      </c>
      <c r="H4743" s="2">
        <v>695</v>
      </c>
      <c r="I4743" s="2" t="inlineStr">
        <is>
          <t>$</t>
        </is>
      </c>
      <c r="J4743" s="2">
        <f>HYPERLINK("https://app.astro.lead-studio.pro/product/44788907-0653-4b30-b277-c3790c356e78")</f>
      </c>
    </row>
    <row r="4744" spans="1:10" customHeight="0">
      <c r="A4744" s="2" t="inlineStr">
        <is>
          <t>Cетевое оборудование</t>
        </is>
      </c>
      <c r="B4744" s="2" t="inlineStr">
        <is>
          <t>ZYXEL</t>
        </is>
      </c>
      <c r="C4744" s="2" t="inlineStr">
        <is>
          <t>USGFLEX500-EUCI02F</t>
        </is>
      </c>
      <c r="D4744" s="2" t="inlineStr">
        <is>
          <t>Межсетевой экран Zyxel USG Flex 500 (USGFLEX500-EUCI02F) 10/100/1000BASE-TX/SFP серебристый</t>
        </is>
      </c>
      <c r="E4744" s="2" t="inlineStr">
        <is>
          <t>+ </t>
        </is>
      </c>
      <c r="F4744" s="2" t="inlineStr">
        <is>
          <t>+ </t>
        </is>
      </c>
      <c r="H4744" s="2">
        <v>1963</v>
      </c>
      <c r="I4744" s="2" t="inlineStr">
        <is>
          <t>$</t>
        </is>
      </c>
      <c r="J4744" s="2">
        <f>HYPERLINK("https://app.astro.lead-studio.pro/product/c176d2f4-a61b-41eb-adfd-982327a04f65")</f>
      </c>
    </row>
    <row r="4745" spans="1:10" customHeight="0">
      <c r="A4745" s="2" t="inlineStr">
        <is>
          <t>Cетевое оборудование</t>
        </is>
      </c>
      <c r="B4745" s="2" t="inlineStr">
        <is>
          <t>ZYXEL</t>
        </is>
      </c>
      <c r="C4745" s="2" t="inlineStr">
        <is>
          <t>USGFLEX500-RU0102F</t>
        </is>
      </c>
      <c r="D4745" s="2" t="inlineStr">
        <is>
          <t>Межсетевой экран Zyxel USG Flex 500 (USGFLEX500-RU0102F) 10/100/1000BASE-TX/SFP компл.:набор подписок на 1 год AS/AV/CF/IDP серебристый</t>
        </is>
      </c>
      <c r="E4745" s="2" t="inlineStr">
        <is>
          <t>+ </t>
        </is>
      </c>
      <c r="F4745" s="2" t="inlineStr">
        <is>
          <t>+ </t>
        </is>
      </c>
      <c r="H4745" s="2">
        <v>2045</v>
      </c>
      <c r="I4745" s="2" t="inlineStr">
        <is>
          <t>$</t>
        </is>
      </c>
      <c r="J4745" s="2">
        <f>HYPERLINK("https://app.astro.lead-studio.pro/product/e3923c0d-57b5-4b4a-9bd7-5439a2a32c6c")</f>
      </c>
    </row>
    <row r="4746" spans="1:10" customHeight="0">
      <c r="A4746" s="2" t="inlineStr">
        <is>
          <t>Cетевое оборудование</t>
        </is>
      </c>
      <c r="B4746" s="2" t="inlineStr">
        <is>
          <t>KASPERSKY IOT</t>
        </is>
      </c>
      <c r="C4746" s="2" t="inlineStr">
        <is>
          <t>UTX3117FS2101-T</t>
        </is>
      </c>
      <c r="D4746" s="2" t="inlineStr">
        <is>
          <t>Шлюз Kaspersky IoT UTX3117FS2101-T</t>
        </is>
      </c>
      <c r="E4746" s="2" t="inlineStr">
        <is>
          <t>+++ </t>
        </is>
      </c>
      <c r="F4746" s="2" t="inlineStr">
        <is>
          <t>+++ </t>
        </is>
      </c>
      <c r="H4746" s="2">
        <v>547</v>
      </c>
      <c r="I4746" s="2" t="inlineStr">
        <is>
          <t>$</t>
        </is>
      </c>
      <c r="J4746" s="2">
        <f>HYPERLINK("https://app.astro.lead-studio.pro/product/e9d99089-893f-4a5a-bb74-66c20825c82e")</f>
      </c>
    </row>
    <row r="4747" spans="1:10" customHeight="0">
      <c r="A4747" s="2" t="inlineStr">
        <is>
          <t>Cетевое оборудование</t>
        </is>
      </c>
      <c r="B4747" s="2" t="inlineStr">
        <is>
          <t>D-LINK</t>
        </is>
      </c>
      <c r="C4747" s="2" t="inlineStr">
        <is>
          <t>DAP-3760</t>
        </is>
      </c>
      <c r="D4747" s="2" t="inlineStr">
        <is>
          <t>Точка доступа D-Link DAP-3760 10/100BASE-TX белый</t>
        </is>
      </c>
      <c r="E4747" s="2" t="inlineStr">
        <is>
          <t>+ </t>
        </is>
      </c>
      <c r="F4747" s="2" t="inlineStr">
        <is>
          <t>+ </t>
        </is>
      </c>
      <c r="H4747" s="2">
        <v>726</v>
      </c>
      <c r="I4747" s="2" t="inlineStr">
        <is>
          <t>$</t>
        </is>
      </c>
      <c r="J4747" s="2">
        <f>HYPERLINK("https://app.astro.lead-studio.pro/product/a1de0de2-1a53-44d6-a1ab-e2a6fff0a079")</f>
      </c>
    </row>
    <row r="4748" spans="1:10" customHeight="0">
      <c r="A4748" s="2" t="inlineStr">
        <is>
          <t>Cетевое оборудование</t>
        </is>
      </c>
      <c r="B4748" s="2" t="inlineStr">
        <is>
          <t>TP-LINK</t>
        </is>
      </c>
      <c r="C4748" s="2" t="inlineStr">
        <is>
          <t>EAP783</t>
        </is>
      </c>
      <c r="D4748" s="2" t="inlineStr">
        <is>
          <t>Точка доступа TP-Link EAP783 BE19000 10GBASE-X белый</t>
        </is>
      </c>
      <c r="E4748" s="2" t="inlineStr">
        <is>
          <t>+ </t>
        </is>
      </c>
      <c r="F4748" s="2" t="inlineStr">
        <is>
          <t>+ </t>
        </is>
      </c>
      <c r="H4748" s="2">
        <v>1648</v>
      </c>
      <c r="I4748" s="2" t="inlineStr">
        <is>
          <t>$</t>
        </is>
      </c>
      <c r="J4748" s="2">
        <f>HYPERLINK("https://app.astro.lead-studio.pro/product/4dc8d7b9-5c5d-4c38-a374-786653c3c536")</f>
      </c>
    </row>
    <row r="4749" spans="1:10" customHeight="0">
      <c r="A4749" s="2" t="inlineStr">
        <is>
          <t>Cетевое оборудование</t>
        </is>
      </c>
      <c r="B4749" s="2" t="inlineStr">
        <is>
          <t>ZYXEL</t>
        </is>
      </c>
      <c r="C4749" s="2" t="inlineStr">
        <is>
          <t>NWA110AX-EU0102F</t>
        </is>
      </c>
      <c r="D4749" s="2" t="inlineStr">
        <is>
          <t>Точка доступа Zyxel NebulaFlex NWA110AX (NWA110AX-EU0102F) AX1800 10/100/1000BASE-TX/Wi-Fi белый</t>
        </is>
      </c>
      <c r="E4749" s="2" t="inlineStr">
        <is>
          <t>+ </t>
        </is>
      </c>
      <c r="F4749" s="2" t="inlineStr">
        <is>
          <t>+ </t>
        </is>
      </c>
      <c r="H4749" s="2">
        <v>348</v>
      </c>
      <c r="I4749" s="2" t="inlineStr">
        <is>
          <t>$</t>
        </is>
      </c>
      <c r="J4749" s="2">
        <f>HYPERLINK("https://app.astro.lead-studio.pro/product/a628084c-b9fe-49b4-846d-923a8faa073e")</f>
      </c>
    </row>
    <row r="4750" spans="1:10" customHeight="0">
      <c r="A4750" s="2" t="inlineStr">
        <is>
          <t>Cетевое оборудование</t>
        </is>
      </c>
      <c r="B4750" s="2" t="inlineStr">
        <is>
          <t>ZYXEL</t>
        </is>
      </c>
      <c r="C4750" s="2" t="inlineStr">
        <is>
          <t>WAX630S-EU0101F</t>
        </is>
      </c>
      <c r="D4750" s="2" t="inlineStr">
        <is>
          <t>Точка доступа Zyxel NebulaFlex Pro WAX630S (WAX630S-EU0101F) AX3000 100/1000/2500BASE-T белый</t>
        </is>
      </c>
      <c r="E4750" s="2" t="inlineStr">
        <is>
          <t>+ </t>
        </is>
      </c>
      <c r="F4750" s="2" t="inlineStr">
        <is>
          <t>+ </t>
        </is>
      </c>
      <c r="H4750" s="2">
        <v>663</v>
      </c>
      <c r="I4750" s="2" t="inlineStr">
        <is>
          <t>$</t>
        </is>
      </c>
      <c r="J4750" s="2">
        <f>HYPERLINK("https://app.astro.lead-studio.pro/product/dd687fb8-c54f-49cd-9d1a-1c4e3dc85b26")</f>
      </c>
    </row>
    <row r="4751" spans="1:10" customHeight="0">
      <c r="A4751" s="2" t="inlineStr">
        <is>
          <t>Cетевое оборудование</t>
        </is>
      </c>
      <c r="B4751" s="2" t="inlineStr">
        <is>
          <t>B4COM</t>
        </is>
      </c>
      <c r="C4751" s="2" t="inlineStr">
        <is>
          <t>B4T-SFP-10G-LR2-LC2</t>
        </is>
      </c>
      <c r="D4751" s="2" t="inlineStr">
        <is>
          <t>Трансивер B4Com B4T-SFP-10G-LR2-LC2 SFP+ Tx:1310нм до 2км</t>
        </is>
      </c>
      <c r="E4751" s="2" t="inlineStr">
        <is>
          <t>+ </t>
        </is>
      </c>
      <c r="F4751" s="2" t="inlineStr">
        <is>
          <t>+ </t>
        </is>
      </c>
      <c r="H4751" s="2">
        <v>1054</v>
      </c>
      <c r="I4751" s="2" t="inlineStr">
        <is>
          <t>$</t>
        </is>
      </c>
      <c r="J4751" s="2">
        <f>HYPERLINK("https://app.astro.lead-studio.pro/product/aa77b0d9-028f-49a9-b13f-b64b0b387f22")</f>
      </c>
    </row>
    <row r="4752" spans="1:10" customHeight="0">
      <c r="A4752" s="2" t="inlineStr">
        <is>
          <t>Cетевое оборудование</t>
        </is>
      </c>
      <c r="B4752" s="2" t="inlineStr">
        <is>
          <t>B4COM</t>
        </is>
      </c>
      <c r="C4752" s="2" t="inlineStr">
        <is>
          <t>B4T-SFP-10G-SR-LC2</t>
        </is>
      </c>
      <c r="D4752" s="2" t="inlineStr">
        <is>
          <t>Трансивер B4Com B4T-SFP-10G-SR-LC2 SFP+ Tx:850нм до 0.4км</t>
        </is>
      </c>
      <c r="E4752" s="2" t="inlineStr">
        <is>
          <t>+ </t>
        </is>
      </c>
      <c r="F4752" s="2" t="inlineStr">
        <is>
          <t>+ </t>
        </is>
      </c>
      <c r="H4752" s="2">
        <v>656</v>
      </c>
      <c r="I4752" s="2" t="inlineStr">
        <is>
          <t>$</t>
        </is>
      </c>
      <c r="J4752" s="2">
        <f>HYPERLINK("https://app.astro.lead-studio.pro/product/07ab37ef-2a03-4a7d-b34c-04ba074db446")</f>
      </c>
    </row>
    <row r="4753" spans="1:10" customHeight="0">
      <c r="A4753" s="2" t="inlineStr">
        <is>
          <t>Cетевое оборудование</t>
        </is>
      </c>
      <c r="B4753" s="2" t="inlineStr">
        <is>
          <t>B4COM</t>
        </is>
      </c>
      <c r="C4753" s="2" t="inlineStr">
        <is>
          <t>B4T-SFP25G-SR-LC2</t>
        </is>
      </c>
      <c r="D4753" s="2" t="inlineStr">
        <is>
          <t>Трансивер B4Com B4T-SFP25G-SR-LC2 SFP28</t>
        </is>
      </c>
      <c r="E4753" s="2" t="inlineStr">
        <is>
          <t>+ </t>
        </is>
      </c>
      <c r="F4753" s="2" t="inlineStr">
        <is>
          <t>+ </t>
        </is>
      </c>
      <c r="H4753" s="2">
        <v>754</v>
      </c>
      <c r="I4753" s="2" t="inlineStr">
        <is>
          <t>$</t>
        </is>
      </c>
      <c r="J4753" s="2">
        <f>HYPERLINK("https://app.astro.lead-studio.pro/product/d49744e7-f5d9-4dd4-9d33-b53261d5ad00")</f>
      </c>
    </row>
    <row r="4754" spans="1:10" customHeight="0">
      <c r="A4754" s="2" t="inlineStr">
        <is>
          <t>Cетевое оборудование</t>
        </is>
      </c>
      <c r="B4754" s="2" t="inlineStr">
        <is>
          <t>FUTURE TECHNOLOGIES</t>
        </is>
      </c>
      <c r="C4754" s="2" t="inlineStr">
        <is>
          <t>FT-QSFP28-DR1</t>
        </is>
      </c>
      <c r="D4754" s="2" t="inlineStr">
        <is>
          <t>Трансивер Future Technologies FT-QSFP28-DR1</t>
        </is>
      </c>
      <c r="E4754" s="2" t="inlineStr">
        <is>
          <t>+ </t>
        </is>
      </c>
      <c r="F4754" s="2" t="inlineStr">
        <is>
          <t>+ </t>
        </is>
      </c>
      <c r="H4754" s="2">
        <v>469</v>
      </c>
      <c r="I4754" s="2" t="inlineStr">
        <is>
          <t>$</t>
        </is>
      </c>
      <c r="J4754" s="2">
        <f>HYPERLINK("https://app.astro.lead-studio.pro/product/2903ba5f-fb3d-4879-aefd-a464fb215714")</f>
      </c>
    </row>
    <row r="4755" spans="1:10" customHeight="0">
      <c r="A4755" s="2" t="inlineStr">
        <is>
          <t>Cетевое оборудование</t>
        </is>
      </c>
      <c r="B4755" s="2" t="inlineStr">
        <is>
          <t>FUTURE TECHNOLOGIES</t>
        </is>
      </c>
      <c r="C4755" s="2" t="inlineStr">
        <is>
          <t>FT-QSFP28-LR4</t>
        </is>
      </c>
      <c r="D4755" s="2" t="inlineStr">
        <is>
          <t>Трансивер Future Technologies FT-QSFP28-LR4 QSFP28 SM 100Гбит/с до 10км</t>
        </is>
      </c>
      <c r="E4755" s="2" t="inlineStr">
        <is>
          <t>+ </t>
        </is>
      </c>
      <c r="F4755" s="2" t="inlineStr">
        <is>
          <t>+ </t>
        </is>
      </c>
      <c r="H4755" s="2">
        <v>517</v>
      </c>
      <c r="I4755" s="2" t="inlineStr">
        <is>
          <t>$</t>
        </is>
      </c>
      <c r="J4755" s="2">
        <f>HYPERLINK("https://app.astro.lead-studio.pro/product/0f9fb81e-e2e8-45e3-9450-57fa2188a042")</f>
      </c>
    </row>
    <row r="4756" spans="1:10" customHeight="0">
      <c r="A4756" s="2" t="inlineStr">
        <is>
          <t>Cетевое оборудование</t>
        </is>
      </c>
      <c r="B4756" s="2" t="inlineStr">
        <is>
          <t>FUTURE TECHNOLOGIES</t>
        </is>
      </c>
      <c r="C4756" s="2" t="inlineStr">
        <is>
          <t>FT-QSFP28-PSM4</t>
        </is>
      </c>
      <c r="D4756" s="2" t="inlineStr">
        <is>
          <t>Трансивер Future Technologies FT-QSFP28-PSM4</t>
        </is>
      </c>
      <c r="E4756" s="2" t="inlineStr">
        <is>
          <t>+ </t>
        </is>
      </c>
      <c r="F4756" s="2" t="inlineStr">
        <is>
          <t>+ </t>
        </is>
      </c>
      <c r="H4756" s="2">
        <v>584</v>
      </c>
      <c r="I4756" s="2" t="inlineStr">
        <is>
          <t>$</t>
        </is>
      </c>
      <c r="J4756" s="2">
        <f>HYPERLINK("https://app.astro.lead-studio.pro/product/0e0ba4d5-cb4a-4fae-ac43-b46ed163a93f")</f>
      </c>
    </row>
    <row r="4757" spans="1:10" customHeight="0">
      <c r="A4757" s="2" t="inlineStr">
        <is>
          <t>Cетевое оборудование</t>
        </is>
      </c>
      <c r="B4757" s="2" t="inlineStr">
        <is>
          <t>FUTURE TECHNOLOGIES</t>
        </is>
      </c>
      <c r="C4757" s="2" t="inlineStr">
        <is>
          <t>FT-QSFP28-SR-BD</t>
        </is>
      </c>
      <c r="D4757" s="2" t="inlineStr">
        <is>
          <t>Трансивер Future Technologies FT-QSFP28-SR-BD</t>
        </is>
      </c>
      <c r="E4757" s="2" t="inlineStr">
        <is>
          <t>+ </t>
        </is>
      </c>
      <c r="F4757" s="2" t="inlineStr">
        <is>
          <t>+ </t>
        </is>
      </c>
      <c r="H4757" s="2">
        <v>848</v>
      </c>
      <c r="I4757" s="2" t="inlineStr">
        <is>
          <t>$</t>
        </is>
      </c>
      <c r="J4757" s="2">
        <f>HYPERLINK("https://app.astro.lead-studio.pro/product/bac906b0-b75e-437b-8457-42ecc0d38a00")</f>
      </c>
    </row>
    <row r="4758" spans="1:10" customHeight="0">
      <c r="A4758" s="2" t="inlineStr">
        <is>
          <t>Cетевое оборудование</t>
        </is>
      </c>
      <c r="B4758" s="2" t="inlineStr">
        <is>
          <t>FUTURE TECHNOLOGIES</t>
        </is>
      </c>
      <c r="C4758" s="2" t="inlineStr">
        <is>
          <t>FT-QSFP28-SWDM4</t>
        </is>
      </c>
      <c r="D4758" s="2" t="inlineStr">
        <is>
          <t>Трансивер Future Technologies FT-QSFP28-SWDM4</t>
        </is>
      </c>
      <c r="E4758" s="2" t="inlineStr">
        <is>
          <t>+ </t>
        </is>
      </c>
      <c r="F4758" s="2" t="inlineStr">
        <is>
          <t>+ </t>
        </is>
      </c>
      <c r="H4758" s="2">
        <v>397</v>
      </c>
      <c r="I4758" s="2" t="inlineStr">
        <is>
          <t>$</t>
        </is>
      </c>
      <c r="J4758" s="2">
        <f>HYPERLINK("https://app.astro.lead-studio.pro/product/65e01c0c-890f-44e7-a639-e3170e4d2635")</f>
      </c>
    </row>
    <row r="4759" spans="1:10" customHeight="0">
      <c r="A4759" s="2" t="inlineStr">
        <is>
          <t>Видеоконференцсвязь</t>
        </is>
      </c>
      <c r="B4759" s="2" t="inlineStr">
        <is>
          <t>SBER</t>
        </is>
      </c>
      <c r="C4759" s="2" t="inlineStr">
        <is>
          <t>SDCM-12Х001</t>
        </is>
      </c>
      <c r="D4759" s="2" t="inlineStr">
        <is>
          <t>Камера Sber SDCM-12X001 (SDCM-12Х001) 4K PTZ камера c 12x опт. зумом, AI сценарии</t>
        </is>
      </c>
      <c r="E4759" s="2" t="inlineStr">
        <is>
          <t>+ </t>
        </is>
      </c>
      <c r="F4759" s="2" t="inlineStr">
        <is>
          <t>+ </t>
        </is>
      </c>
      <c r="H4759" s="2">
        <v>3337</v>
      </c>
      <c r="I4759" s="2" t="inlineStr">
        <is>
          <t>$</t>
        </is>
      </c>
      <c r="J4759" s="2">
        <f>HYPERLINK("https://app.astro.lead-studio.pro/product/0b1b3bbd-8f43-43d5-9e5a-8317eb976bbc")</f>
      </c>
    </row>
    <row r="4760" spans="1:10" customHeight="0">
      <c r="A4760" s="2" t="inlineStr">
        <is>
          <t>Видеоконференцсвязь</t>
        </is>
      </c>
      <c r="B4760" s="2" t="inlineStr">
        <is>
          <t>SBER</t>
        </is>
      </c>
      <c r="C4760" s="2" t="inlineStr">
        <is>
          <t>SDVB-4Х001B</t>
        </is>
      </c>
      <c r="D4760" s="2" t="inlineStr">
        <is>
          <t>Камера Sber SDVB-4X001B (SDVB-4Х001B) Видеобар Sber SDVB-4x001B служит для конференц-связи, трансляции изображения и звука из переговорной комнаты. Он оснащён массивом из четырёх высокочувствительных микрофонов и широкоугольной ePTZ-видеокамерой с функцией автоматического кадрирования и</t>
        </is>
      </c>
      <c r="E4760" s="2" t="inlineStr">
        <is>
          <t>+ </t>
        </is>
      </c>
      <c r="F4760" s="2" t="inlineStr">
        <is>
          <t>+ </t>
        </is>
      </c>
      <c r="H4760" s="2">
        <v>3192</v>
      </c>
      <c r="I4760" s="2" t="inlineStr">
        <is>
          <t>$</t>
        </is>
      </c>
      <c r="J4760" s="2">
        <f>HYPERLINK("https://app.astro.lead-studio.pro/product/3c383f5b-684a-4706-9019-04b906b0d7b4")</f>
      </c>
    </row>
    <row r="4761" spans="1:10" customHeight="0">
      <c r="A4761" s="2" t="inlineStr">
        <is>
          <t>Видеоконференцсвязь</t>
        </is>
      </c>
      <c r="B4761" s="2" t="inlineStr">
        <is>
          <t>SBER</t>
        </is>
      </c>
      <c r="C4761" s="2" t="inlineStr">
        <is>
          <t>SDTM-001</t>
        </is>
      </c>
      <c r="D4761" s="2" t="inlineStr">
        <is>
          <t>Контроллер Sber SDTM-001 4K, RK 3588, dual display, 4 микрофона, DC 2.0</t>
        </is>
      </c>
      <c r="E4761" s="2" t="inlineStr">
        <is>
          <t>+ </t>
        </is>
      </c>
      <c r="F4761" s="2" t="inlineStr">
        <is>
          <t>+ </t>
        </is>
      </c>
      <c r="H4761" s="2">
        <v>5366</v>
      </c>
      <c r="I4761" s="2" t="inlineStr">
        <is>
          <t>$</t>
        </is>
      </c>
      <c r="J4761" s="2">
        <f>HYPERLINK("https://app.astro.lead-studio.pro/product/6c25b3d7-08e2-4b85-b604-18dd4a533ab2")</f>
      </c>
    </row>
    <row r="4762" spans="1:10" customHeight="0">
      <c r="A4762" s="2" t="inlineStr">
        <is>
          <t>Видеоконференцсвязь</t>
        </is>
      </c>
      <c r="B4762" s="2" t="inlineStr">
        <is>
          <t>SBER</t>
        </is>
      </c>
      <c r="C4762" s="2" t="inlineStr">
        <is>
          <t>SDMIC-001</t>
        </is>
      </c>
      <c r="D4762" s="2" t="inlineStr">
        <is>
          <t>Микрофон Sber SDMIC-001 Микрофон с поддержкой каскадирования (SDMIC-001)</t>
        </is>
      </c>
      <c r="E4762" s="2" t="inlineStr">
        <is>
          <t>+ </t>
        </is>
      </c>
      <c r="F4762" s="2" t="inlineStr">
        <is>
          <t>+ </t>
        </is>
      </c>
      <c r="H4762" s="2">
        <v>434</v>
      </c>
      <c r="I4762" s="2" t="inlineStr">
        <is>
          <t>$</t>
        </is>
      </c>
      <c r="J4762" s="2">
        <f>HYPERLINK("https://app.astro.lead-studio.pro/product/a40d9e29-6b5c-4bdc-9baf-5318c3966d0b")</f>
      </c>
    </row>
    <row r="4763" spans="1:10" customHeight="0">
      <c r="A4763" s="2" t="inlineStr">
        <is>
          <t>Видеоконференцсвязь</t>
        </is>
      </c>
      <c r="B4763" s="2" t="inlineStr">
        <is>
          <t>SBER</t>
        </is>
      </c>
      <c r="C4763" s="2" t="inlineStr">
        <is>
          <t>SDCP-10-001</t>
        </is>
      </c>
      <c r="D4763" s="2" t="inlineStr">
        <is>
          <t>Панель управления Sber SDCP-10-001 10.1" сенсорная DC 2.0/PoE</t>
        </is>
      </c>
      <c r="E4763" s="2" t="inlineStr">
        <is>
          <t>+ </t>
        </is>
      </c>
      <c r="F4763" s="2" t="inlineStr">
        <is>
          <t>+ </t>
        </is>
      </c>
      <c r="H4763" s="2">
        <v>721</v>
      </c>
      <c r="I4763" s="2" t="inlineStr">
        <is>
          <t>$</t>
        </is>
      </c>
      <c r="J4763" s="2">
        <f>HYPERLINK("https://app.astro.lead-studio.pro/product/64a06f7d-3001-447b-9cfc-796533b611f6")</f>
      </c>
    </row>
    <row r="4764" spans="1:10" customHeight="0">
      <c r="A4764" s="2" t="inlineStr">
        <is>
          <t>Видеонаблюдение</t>
        </is>
      </c>
      <c r="B4764" s="2" t="inlineStr">
        <is>
          <t>NONAME</t>
        </is>
      </c>
      <c r="C4764" s="2" t="inlineStr">
        <is>
          <t>TIP-H-4</t>
        </is>
      </c>
      <c r="D4764" s="2" t="inlineStr">
        <is>
          <t>Тестер Tezter TIP-H-4 TIP-H-4</t>
        </is>
      </c>
      <c r="E4764" s="2" t="inlineStr">
        <is>
          <t>+ </t>
        </is>
      </c>
      <c r="F4764" s="2" t="inlineStr">
        <is>
          <t>+ </t>
        </is>
      </c>
      <c r="H4764" s="2">
        <v>391</v>
      </c>
      <c r="I4764" s="2" t="inlineStr">
        <is>
          <t>$</t>
        </is>
      </c>
      <c r="J4764" s="2">
        <f>HYPERLINK("https://app.astro.lead-studio.pro/product/59e60c7a-a97d-4244-b2b6-c5cb16c2eeda")</f>
      </c>
    </row>
    <row r="4765" spans="1:10" customHeight="0">
      <c r="A4765" s="2" t="inlineStr">
        <is>
          <t>Видеонаблюдение</t>
        </is>
      </c>
      <c r="B4765" s="2" t="inlineStr">
        <is>
          <t>NONAME</t>
        </is>
      </c>
      <c r="C4765" s="2" t="inlineStr">
        <is>
          <t>TIP-H-4(HAND)</t>
        </is>
      </c>
      <c r="D4765" s="2" t="inlineStr">
        <is>
          <t>Тестер Tezter TIP-H-4(Hand) TIP-H-4(HAND)</t>
        </is>
      </c>
      <c r="E4765" s="2" t="inlineStr">
        <is>
          <t>+ </t>
        </is>
      </c>
      <c r="F4765" s="2" t="inlineStr">
        <is>
          <t>+ </t>
        </is>
      </c>
      <c r="H4765" s="2">
        <v>362</v>
      </c>
      <c r="I4765" s="2" t="inlineStr">
        <is>
          <t>$</t>
        </is>
      </c>
      <c r="J4765" s="2">
        <f>HYPERLINK("https://app.astro.lead-studio.pro/product/7065fea6-8c31-4904-b2ef-bb2064e65356")</f>
      </c>
    </row>
    <row r="4766" spans="1:10" customHeight="0">
      <c r="A4766" s="2" t="inlineStr">
        <is>
          <t>Видеонаблюдение</t>
        </is>
      </c>
      <c r="B4766" s="2" t="inlineStr">
        <is>
          <t>NONAME</t>
        </is>
      </c>
      <c r="C4766" s="2" t="inlineStr">
        <is>
          <t>TIP-H-5</t>
        </is>
      </c>
      <c r="D4766" s="2" t="inlineStr">
        <is>
          <t>Тестер Tezter TIP-H-5 TIP-H-5</t>
        </is>
      </c>
      <c r="E4766" s="2" t="inlineStr">
        <is>
          <t>+ </t>
        </is>
      </c>
      <c r="F4766" s="2" t="inlineStr">
        <is>
          <t>+ </t>
        </is>
      </c>
      <c r="H4766" s="2">
        <v>435</v>
      </c>
      <c r="I4766" s="2" t="inlineStr">
        <is>
          <t>$</t>
        </is>
      </c>
      <c r="J4766" s="2">
        <f>HYPERLINK("https://app.astro.lead-studio.pro/product/d2480fab-6a39-422a-89ab-326970e612a4")</f>
      </c>
    </row>
    <row r="4767" spans="1:10" customHeight="0">
      <c r="A4767" s="2" t="inlineStr">
        <is>
          <t>Видеонаблюдение</t>
        </is>
      </c>
      <c r="B4767" s="2" t="inlineStr">
        <is>
          <t>NONAME</t>
        </is>
      </c>
      <c r="C4767" s="2" t="inlineStr">
        <is>
          <t>TIP-H-M-7</t>
        </is>
      </c>
      <c r="D4767" s="2" t="inlineStr">
        <is>
          <t>Тестер Tezter TIP-H-M-7 TIP-H-M-7</t>
        </is>
      </c>
      <c r="E4767" s="2" t="inlineStr">
        <is>
          <t>+ </t>
        </is>
      </c>
      <c r="F4767" s="2" t="inlineStr">
        <is>
          <t>+ </t>
        </is>
      </c>
      <c r="H4767" s="2">
        <v>836</v>
      </c>
      <c r="I4767" s="2" t="inlineStr">
        <is>
          <t>$</t>
        </is>
      </c>
      <c r="J4767" s="2">
        <f>HYPERLINK("https://app.astro.lead-studio.pro/product/26cef2f1-4f3a-4a11-951c-a729f1aa40cb")</f>
      </c>
    </row>
    <row r="4768" spans="1:10" customHeight="0">
      <c r="A4768" s="2" t="inlineStr">
        <is>
          <t>Видеонаблюдение</t>
        </is>
      </c>
      <c r="B4768" s="2" t="inlineStr">
        <is>
          <t>NONAME</t>
        </is>
      </c>
      <c r="C4768" s="2" t="inlineStr">
        <is>
          <t>TIP-HOL-MT-7</t>
        </is>
      </c>
      <c r="D4768" s="2" t="inlineStr">
        <is>
          <t>Тестер Tezter TIP-HOL-MT-7 TIP-HOL-MT-7</t>
        </is>
      </c>
      <c r="E4768" s="2" t="inlineStr">
        <is>
          <t>+ </t>
        </is>
      </c>
      <c r="F4768" s="2" t="inlineStr">
        <is>
          <t>+ </t>
        </is>
      </c>
      <c r="H4768" s="2">
        <v>1375</v>
      </c>
      <c r="I4768" s="2" t="inlineStr">
        <is>
          <t>$</t>
        </is>
      </c>
      <c r="J4768" s="2">
        <f>HYPERLINK("https://app.astro.lead-studio.pro/product/f2119049-f248-4c0d-9779-d59a89f61264")</f>
      </c>
    </row>
    <row r="4769" spans="1:10" customHeight="0">
      <c r="A4769" s="2" t="inlineStr">
        <is>
          <t>Видеонаблюдение</t>
        </is>
      </c>
      <c r="B4769" s="2" t="inlineStr">
        <is>
          <t>OSNOVO</t>
        </is>
      </c>
      <c r="C4769" s="2" t="inlineStr">
        <is>
          <t>SP-H16C</t>
        </is>
      </c>
      <c r="D4769" s="2" t="inlineStr">
        <is>
          <t>Грозозащита Osnovo SP-H16C</t>
        </is>
      </c>
      <c r="E4769" s="2" t="inlineStr">
        <is>
          <t>+ </t>
        </is>
      </c>
      <c r="F4769" s="2" t="inlineStr">
        <is>
          <t>+ </t>
        </is>
      </c>
      <c r="H4769" s="2">
        <v>451</v>
      </c>
      <c r="I4769" s="2" t="inlineStr">
        <is>
          <t>$</t>
        </is>
      </c>
      <c r="J4769" s="2">
        <f>HYPERLINK("https://app.astro.lead-studio.pro/product/a38a390f-fe34-4d5e-9094-3b8e4dfed899")</f>
      </c>
    </row>
    <row r="4770" spans="1:10" customHeight="0">
      <c r="A4770" s="2" t="inlineStr">
        <is>
          <t>Видеонаблюдение</t>
        </is>
      </c>
      <c r="B4770" s="2" t="inlineStr">
        <is>
          <t>OSNOVO</t>
        </is>
      </c>
      <c r="C4770" s="2" t="inlineStr">
        <is>
          <t>SP-IP16/1000PR 1U</t>
        </is>
      </c>
      <c r="D4770" s="2" t="inlineStr">
        <is>
          <t>Грозозащита Osnovo SP-IP16/1000PR 1U</t>
        </is>
      </c>
      <c r="E4770" s="2" t="inlineStr">
        <is>
          <t>+ </t>
        </is>
      </c>
      <c r="F4770" s="2" t="inlineStr">
        <is>
          <t>+ </t>
        </is>
      </c>
      <c r="H4770" s="2">
        <v>548</v>
      </c>
      <c r="I4770" s="2" t="inlineStr">
        <is>
          <t>$</t>
        </is>
      </c>
      <c r="J4770" s="2">
        <f>HYPERLINK("https://app.astro.lead-studio.pro/product/313a9703-7812-4266-8972-040168f01da0")</f>
      </c>
    </row>
    <row r="4771" spans="1:10" customHeight="0">
      <c r="A4771" s="2" t="inlineStr">
        <is>
          <t>Видеонаблюдение</t>
        </is>
      </c>
      <c r="B4771" s="2" t="inlineStr">
        <is>
          <t>OSNOVO</t>
        </is>
      </c>
      <c r="C4771" s="2" t="inlineStr">
        <is>
          <t>SP-IP24/1000PR</t>
        </is>
      </c>
      <c r="D4771" s="2" t="inlineStr">
        <is>
          <t>Грозозащита Osnovo SP-IP24/1000PR</t>
        </is>
      </c>
      <c r="E4771" s="2" t="inlineStr">
        <is>
          <t>+ </t>
        </is>
      </c>
      <c r="F4771" s="2" t="inlineStr">
        <is>
          <t>+ </t>
        </is>
      </c>
      <c r="H4771" s="2">
        <v>741</v>
      </c>
      <c r="I4771" s="2" t="inlineStr">
        <is>
          <t>$</t>
        </is>
      </c>
      <c r="J4771" s="2">
        <f>HYPERLINK("https://app.astro.lead-studio.pro/product/7c4e210f-6fc6-4eb4-8aae-6af55ee22f41")</f>
      </c>
    </row>
    <row r="4772" spans="1:10" customHeight="0">
      <c r="A4772" s="2" t="inlineStr">
        <is>
          <t>Видеонаблюдение</t>
        </is>
      </c>
      <c r="B4772" s="2" t="inlineStr">
        <is>
          <t>OSNOVO</t>
        </is>
      </c>
      <c r="C4772" s="2" t="inlineStr">
        <is>
          <t>OS-34TB1</t>
        </is>
      </c>
      <c r="D4772" s="2" t="inlineStr">
        <is>
          <t>Коммутатор Osnovo OS-34TB1</t>
        </is>
      </c>
      <c r="E4772" s="2" t="inlineStr">
        <is>
          <t>+ </t>
        </is>
      </c>
      <c r="F4772" s="2" t="inlineStr">
        <is>
          <t>+ </t>
        </is>
      </c>
      <c r="H4772" s="2">
        <v>528</v>
      </c>
      <c r="I4772" s="2" t="inlineStr">
        <is>
          <t>$</t>
        </is>
      </c>
      <c r="J4772" s="2">
        <f>HYPERLINK("https://app.astro.lead-studio.pro/product/abbe4565-bfe5-4b8a-bca2-d89ee3764c63")</f>
      </c>
    </row>
    <row r="4773" spans="1:10" customHeight="0">
      <c r="A4773" s="2" t="inlineStr">
        <is>
          <t>Видеонаблюдение</t>
        </is>
      </c>
      <c r="B4773" s="2" t="inlineStr">
        <is>
          <t>OSNOVO</t>
        </is>
      </c>
      <c r="C4773" s="2" t="inlineStr">
        <is>
          <t>RA-H82-15F</t>
        </is>
      </c>
      <c r="D4773" s="2" t="inlineStr">
        <is>
          <t>Приемник Osnovo RA-H82-15F</t>
        </is>
      </c>
      <c r="E4773" s="2" t="inlineStr">
        <is>
          <t>+ </t>
        </is>
      </c>
      <c r="F4773" s="2" t="inlineStr">
        <is>
          <t>+ </t>
        </is>
      </c>
      <c r="H4773" s="2">
        <v>420</v>
      </c>
      <c r="I4773" s="2" t="inlineStr">
        <is>
          <t>$</t>
        </is>
      </c>
      <c r="J4773" s="2">
        <f>HYPERLINK("https://app.astro.lead-studio.pro/product/9b499423-949f-4ebc-92a0-923946c0f468")</f>
      </c>
    </row>
    <row r="4774" spans="1:10" customHeight="0">
      <c r="A4774" s="2" t="inlineStr">
        <is>
          <t>Видеонаблюдение</t>
        </is>
      </c>
      <c r="B4774" s="2" t="inlineStr">
        <is>
          <t>OSNOVO</t>
        </is>
      </c>
      <c r="C4774" s="2" t="inlineStr">
        <is>
          <t>TA-H82-15F</t>
        </is>
      </c>
      <c r="D4774" s="2" t="inlineStr">
        <is>
          <t>Приемопередатчик Osnovo TA-H82-15F</t>
        </is>
      </c>
      <c r="E4774" s="2" t="inlineStr">
        <is>
          <t>+ </t>
        </is>
      </c>
      <c r="F4774" s="2" t="inlineStr">
        <is>
          <t>+ </t>
        </is>
      </c>
      <c r="H4774" s="2">
        <v>416</v>
      </c>
      <c r="I4774" s="2" t="inlineStr">
        <is>
          <t>$</t>
        </is>
      </c>
      <c r="J4774" s="2">
        <f>HYPERLINK("https://app.astro.lead-studio.pro/product/5547f9a6-c085-42aa-a170-be44c2a84f19")</f>
      </c>
    </row>
    <row r="4775" spans="1:10" customHeight="0">
      <c r="A4775" s="2" t="inlineStr">
        <is>
          <t>Видеонаблюдение</t>
        </is>
      </c>
      <c r="B4775" s="2" t="inlineStr">
        <is>
          <t>DAHUA</t>
        </is>
      </c>
      <c r="C4775" s="2" t="inlineStr">
        <is>
          <t>DH-IPC-EB5541P-AS</t>
        </is>
      </c>
      <c r="D4775" s="2" t="inlineStr">
        <is>
          <t>Камера видеонаблюдения IP Dahua DH-IPC-EB5541P-AS 1.4-1.4мм цв. корп.:белый</t>
        </is>
      </c>
      <c r="E4775" s="2" t="inlineStr">
        <is>
          <t>+ </t>
        </is>
      </c>
      <c r="F4775" s="2" t="inlineStr">
        <is>
          <t>+ </t>
        </is>
      </c>
      <c r="H4775" s="2">
        <v>387</v>
      </c>
      <c r="I4775" s="2" t="inlineStr">
        <is>
          <t>$</t>
        </is>
      </c>
      <c r="J4775" s="2">
        <f>HYPERLINK("https://app.astro.lead-studio.pro/product/4e7aeeef-8f28-42fa-9904-3e52c9cc279c")</f>
      </c>
    </row>
    <row r="4776" spans="1:10" customHeight="0">
      <c r="A4776" s="2" t="inlineStr">
        <is>
          <t>Видеонаблюдение</t>
        </is>
      </c>
      <c r="B4776" s="2" t="inlineStr">
        <is>
          <t>DAHUA</t>
        </is>
      </c>
      <c r="C4776" s="2" t="inlineStr">
        <is>
          <t>DH-IPC-HDBW3241RP-ZAS</t>
        </is>
      </c>
      <c r="D4776" s="2" t="inlineStr">
        <is>
          <t>Камера видеонаблюдения IP Dahua DH-IPC-HDBW3241RP-ZAS 2.7-13.5мм цв. корп.:белый</t>
        </is>
      </c>
      <c r="E4776" s="2" t="inlineStr">
        <is>
          <t>+ </t>
        </is>
      </c>
      <c r="F4776" s="2" t="inlineStr">
        <is>
          <t>+ </t>
        </is>
      </c>
      <c r="H4776" s="2">
        <v>400</v>
      </c>
      <c r="I4776" s="2" t="inlineStr">
        <is>
          <t>$</t>
        </is>
      </c>
      <c r="J4776" s="2">
        <f>HYPERLINK("https://app.astro.lead-studio.pro/product/8eeb5a80-8778-4955-89f5-7effc37bb734")</f>
      </c>
    </row>
    <row r="4777" spans="1:10" customHeight="0">
      <c r="A4777" s="2" t="inlineStr">
        <is>
          <t>Видеонаблюдение</t>
        </is>
      </c>
      <c r="B4777" s="2" t="inlineStr">
        <is>
          <t>DAHUA</t>
        </is>
      </c>
      <c r="C4777" s="2" t="inlineStr">
        <is>
          <t>DH-IPC-HDBW3541RP-ZAS-S2</t>
        </is>
      </c>
      <c r="D4777" s="2" t="inlineStr">
        <is>
          <t>Камера видеонаблюдения IP Dahua DH-IPC-HDBW3541R-ZAS-S2 2.7-13.5мм цв. корп.:белый (DH-IPC-HDBW3541RP-ZAS-S2)</t>
        </is>
      </c>
      <c r="E4777" s="2" t="inlineStr">
        <is>
          <t>++ </t>
        </is>
      </c>
      <c r="F4777" s="2" t="inlineStr">
        <is>
          <t>++ </t>
        </is>
      </c>
      <c r="H4777" s="2">
        <v>458</v>
      </c>
      <c r="I4777" s="2" t="inlineStr">
        <is>
          <t>$</t>
        </is>
      </c>
      <c r="J4777" s="2">
        <f>HYPERLINK("https://app.astro.lead-studio.pro/product/bd5e49e0-07c0-485b-993b-0f681833c9af")</f>
      </c>
    </row>
    <row r="4778" spans="1:10" customHeight="0">
      <c r="A4778" s="2" t="inlineStr">
        <is>
          <t>Видеонаблюдение</t>
        </is>
      </c>
      <c r="B4778" s="2" t="inlineStr">
        <is>
          <t>DAHUA</t>
        </is>
      </c>
      <c r="C4778" s="2" t="inlineStr">
        <is>
          <t>DH-IPC-HDBW5442EP-ZE-S3</t>
        </is>
      </c>
      <c r="D4778" s="2" t="inlineStr">
        <is>
          <t>Камера видеонаблюдения IP Dahua DH-IPC-HDBW5442E-ZE-S3 2.7-12мм цв. корп.:белый (DH-IPC-HDBW5442EP-ZE-S3)</t>
        </is>
      </c>
      <c r="E4778" s="2" t="inlineStr">
        <is>
          <t>++ </t>
        </is>
      </c>
      <c r="F4778" s="2" t="inlineStr">
        <is>
          <t>++ </t>
        </is>
      </c>
      <c r="H4778" s="2">
        <v>330</v>
      </c>
      <c r="I4778" s="2" t="inlineStr">
        <is>
          <t>$</t>
        </is>
      </c>
      <c r="J4778" s="2">
        <f>HYPERLINK("https://app.astro.lead-studio.pro/product/ae612859-99f7-4090-bbbb-6aab2ea3db1d")</f>
      </c>
    </row>
    <row r="4779" spans="1:10" customHeight="0">
      <c r="A4779" s="2" t="inlineStr">
        <is>
          <t>Видеонаблюдение</t>
        </is>
      </c>
      <c r="B4779" s="2" t="inlineStr">
        <is>
          <t>DAHUA</t>
        </is>
      </c>
      <c r="C4779" s="2" t="inlineStr">
        <is>
          <t>DH-IPC-HDBW7442E1P-Z4-X</t>
        </is>
      </c>
      <c r="D4779" s="2" t="inlineStr">
        <is>
          <t>Камера видеонаблюдения IP Dahua DH-IPC-HDBW7442E1P-Z4-X 8-32мм цв.</t>
        </is>
      </c>
      <c r="E4779" s="2" t="inlineStr">
        <is>
          <t>+ </t>
        </is>
      </c>
      <c r="F4779" s="2" t="inlineStr">
        <is>
          <t>+ </t>
        </is>
      </c>
      <c r="H4779" s="2">
        <v>1644</v>
      </c>
      <c r="I4779" s="2" t="inlineStr">
        <is>
          <t>$</t>
        </is>
      </c>
      <c r="J4779" s="2">
        <f>HYPERLINK("https://app.astro.lead-studio.pro/product/9e72961b-bbbd-451c-96e6-0f18ed496adc")</f>
      </c>
    </row>
    <row r="4780" spans="1:10" customHeight="0">
      <c r="A4780" s="2" t="inlineStr">
        <is>
          <t>Видеонаблюдение</t>
        </is>
      </c>
      <c r="B4780" s="2" t="inlineStr">
        <is>
          <t>DAHUA</t>
        </is>
      </c>
      <c r="C4780" s="2" t="inlineStr">
        <is>
          <t>DH-IPC-HFW3841TP-ZAS-S2</t>
        </is>
      </c>
      <c r="D4780" s="2" t="inlineStr">
        <is>
          <t>Камера видеонаблюдения IP Dahua DH-IPC-HFW3841TP-ZAS-S2 2.7-13.5мм корп.:белый</t>
        </is>
      </c>
      <c r="E4780" s="2" t="inlineStr">
        <is>
          <t>+ </t>
        </is>
      </c>
      <c r="F4780" s="2" t="inlineStr">
        <is>
          <t>+ </t>
        </is>
      </c>
      <c r="H4780" s="2">
        <v>622</v>
      </c>
      <c r="I4780" s="2" t="inlineStr">
        <is>
          <t>$</t>
        </is>
      </c>
      <c r="J4780" s="2">
        <f>HYPERLINK("https://app.astro.lead-studio.pro/product/cf9a397b-c2eb-4cd8-a8a2-2563f0596e3d")</f>
      </c>
    </row>
    <row r="4781" spans="1:10" customHeight="0">
      <c r="A4781" s="2" t="inlineStr">
        <is>
          <t>Видеонаблюдение</t>
        </is>
      </c>
      <c r="B4781" s="2" t="inlineStr">
        <is>
          <t>DAHUA</t>
        </is>
      </c>
      <c r="C4781" s="2" t="inlineStr">
        <is>
          <t>DH-IPC-HFW3849T1P-AS-PV-PRO</t>
        </is>
      </c>
      <c r="D4781" s="2" t="inlineStr">
        <is>
          <t>Камера видеонаблюдения IP Dahua DH-IPC-HFW3849T1P-AS-PV-0280B-PRO 2.8-2.8мм цв. (DH-IPC-HFW3849T1P-AS-PV-PRO)</t>
        </is>
      </c>
      <c r="E4781" s="2" t="inlineStr">
        <is>
          <t>+ </t>
        </is>
      </c>
      <c r="F4781" s="2" t="inlineStr">
        <is>
          <t>+ </t>
        </is>
      </c>
      <c r="H4781" s="2">
        <v>365</v>
      </c>
      <c r="I4781" s="2" t="inlineStr">
        <is>
          <t>$</t>
        </is>
      </c>
      <c r="J4781" s="2">
        <f>HYPERLINK("https://app.astro.lead-studio.pro/product/45f36d86-1f2d-431e-bc96-aa3d3add2a46")</f>
      </c>
    </row>
    <row r="4782" spans="1:10" customHeight="0">
      <c r="A4782" s="2" t="inlineStr">
        <is>
          <t>Видеонаблюдение</t>
        </is>
      </c>
      <c r="B4782" s="2" t="inlineStr">
        <is>
          <t>DAHUA</t>
        </is>
      </c>
      <c r="C4782" s="2" t="inlineStr">
        <is>
          <t>DH-IPC-HFW3849T1P-AS-PV-PRO</t>
        </is>
      </c>
      <c r="D4782" s="2" t="inlineStr">
        <is>
          <t>Камера видеонаблюдения IP Dahua DH-IPC-HFW3849T1P-AS-PV-0360B-PRO 3.6-3.6мм цв. (DH-IPC-HFW3849T1P-AS-PV-PRO)</t>
        </is>
      </c>
      <c r="E4782" s="2" t="inlineStr">
        <is>
          <t>+ </t>
        </is>
      </c>
      <c r="F4782" s="2" t="inlineStr">
        <is>
          <t>+ </t>
        </is>
      </c>
      <c r="H4782" s="2">
        <v>373</v>
      </c>
      <c r="I4782" s="2" t="inlineStr">
        <is>
          <t>$</t>
        </is>
      </c>
      <c r="J4782" s="2">
        <f>HYPERLINK("https://app.astro.lead-studio.pro/product/45f36d86-1f2d-431e-bc96-aa3d3add2a46")</f>
      </c>
    </row>
    <row r="4783" spans="1:10" customHeight="0">
      <c r="A4783" s="2" t="inlineStr">
        <is>
          <t>Видеонаблюдение</t>
        </is>
      </c>
      <c r="B4783" s="2" t="inlineStr">
        <is>
          <t>DAHUA</t>
        </is>
      </c>
      <c r="C4783" s="2" t="inlineStr">
        <is>
          <t>DH-IPC-HFW3849T1P-ZAS-PV-S5</t>
        </is>
      </c>
      <c r="D4783" s="2" t="inlineStr">
        <is>
          <t>Камера видеонаблюдения IP Dahua DH-IPC-HFW3849T1P-ZAS-PV-S5 2.7-13.5мм цв. корп.:белый</t>
        </is>
      </c>
      <c r="E4783" s="2" t="inlineStr">
        <is>
          <t>+++ </t>
        </is>
      </c>
      <c r="F4783" s="2" t="inlineStr">
        <is>
          <t>+++ </t>
        </is>
      </c>
      <c r="H4783" s="2">
        <v>358</v>
      </c>
      <c r="I4783" s="2" t="inlineStr">
        <is>
          <t>$</t>
        </is>
      </c>
      <c r="J4783" s="2">
        <f>HYPERLINK("https://app.astro.lead-studio.pro/product/63c88a33-67bf-47b7-b661-a0bedf374cc7")</f>
      </c>
    </row>
    <row r="4784" spans="1:10" customHeight="0">
      <c r="A4784" s="2" t="inlineStr">
        <is>
          <t>Видеонаблюдение</t>
        </is>
      </c>
      <c r="B4784" s="2" t="inlineStr">
        <is>
          <t>DAHUA</t>
        </is>
      </c>
      <c r="C4784" s="2" t="inlineStr">
        <is>
          <t>DH-IPC-HFW5442EP-ZHE-S3</t>
        </is>
      </c>
      <c r="D4784" s="2" t="inlineStr">
        <is>
          <t>Камера видеонаблюдения IP Dahua DH-IPC-HFW5442EP-ZHE-S3 2.7-12мм цв. корп.:белый</t>
        </is>
      </c>
      <c r="E4784" s="2" t="inlineStr">
        <is>
          <t>+ </t>
        </is>
      </c>
      <c r="F4784" s="2" t="inlineStr">
        <is>
          <t>+ </t>
        </is>
      </c>
      <c r="H4784" s="2">
        <v>766</v>
      </c>
      <c r="I4784" s="2" t="inlineStr">
        <is>
          <t>$</t>
        </is>
      </c>
      <c r="J4784" s="2">
        <f>HYPERLINK("https://app.astro.lead-studio.pro/product/d968179d-2f18-4ce1-949e-ce294c20aa9a")</f>
      </c>
    </row>
    <row r="4785" spans="1:10" customHeight="0">
      <c r="A4785" s="2" t="inlineStr">
        <is>
          <t>Видеонаблюдение</t>
        </is>
      </c>
      <c r="B4785" s="2" t="inlineStr">
        <is>
          <t>DAHUA</t>
        </is>
      </c>
      <c r="C4785" s="2" t="inlineStr">
        <is>
          <t>DH-IPC-HFW7442HP-Z-X</t>
        </is>
      </c>
      <c r="D4785" s="2" t="inlineStr">
        <is>
          <t>Камера видеонаблюдения IP Dahua DH-IPC-HFW7442HP-Z-X 2.7-12мм цв. корп.:белый/черный</t>
        </is>
      </c>
      <c r="E4785" s="2" t="inlineStr">
        <is>
          <t>+ </t>
        </is>
      </c>
      <c r="F4785" s="2" t="inlineStr">
        <is>
          <t>+ </t>
        </is>
      </c>
      <c r="H4785" s="2">
        <v>1631</v>
      </c>
      <c r="I4785" s="2" t="inlineStr">
        <is>
          <t>$</t>
        </is>
      </c>
      <c r="J4785" s="2">
        <f>HYPERLINK("https://app.astro.lead-studio.pro/product/08f7bf17-056d-4e33-881c-deaf173f73aa")</f>
      </c>
    </row>
    <row r="4786" spans="1:10" customHeight="0">
      <c r="A4786" s="2" t="inlineStr">
        <is>
          <t>Видеонаблюдение</t>
        </is>
      </c>
      <c r="B4786" s="2" t="inlineStr">
        <is>
          <t>DAHUA</t>
        </is>
      </c>
      <c r="C4786" s="2" t="inlineStr">
        <is>
          <t>DH-SD49216DB-HNY</t>
        </is>
      </c>
      <c r="D4786" s="2" t="inlineStr">
        <is>
          <t>Камера видеонаблюдения IP Dahua DH-SD49216DB-HNY 2.8-12мм цв. корп.:белый</t>
        </is>
      </c>
      <c r="E4786" s="2" t="inlineStr">
        <is>
          <t>+ </t>
        </is>
      </c>
      <c r="F4786" s="2" t="inlineStr">
        <is>
          <t>+ </t>
        </is>
      </c>
      <c r="H4786" s="2">
        <v>372</v>
      </c>
      <c r="I4786" s="2" t="inlineStr">
        <is>
          <t>$</t>
        </is>
      </c>
      <c r="J4786" s="2">
        <f>HYPERLINK("https://app.astro.lead-studio.pro/product/28b6fbd2-37c4-49ce-a1ef-0165fde62f98")</f>
      </c>
    </row>
    <row r="4787" spans="1:10" customHeight="0">
      <c r="A4787" s="2" t="inlineStr">
        <is>
          <t>Видеонаблюдение</t>
        </is>
      </c>
      <c r="B4787" s="2" t="inlineStr">
        <is>
          <t>DAHUA</t>
        </is>
      </c>
      <c r="C4787" s="2" t="inlineStr">
        <is>
          <t>DH-SD49225DB-HNY</t>
        </is>
      </c>
      <c r="D4787" s="2" t="inlineStr">
        <is>
          <t>Камера видеонаблюдения IP Dahua DH-SD49225DB-HNY 4.8-120мм цв. корп.:белый</t>
        </is>
      </c>
      <c r="E4787" s="2" t="inlineStr">
        <is>
          <t>+++ </t>
        </is>
      </c>
      <c r="F4787" s="2" t="inlineStr">
        <is>
          <t>+++ </t>
        </is>
      </c>
      <c r="H4787" s="2">
        <v>419</v>
      </c>
      <c r="I4787" s="2" t="inlineStr">
        <is>
          <t>$</t>
        </is>
      </c>
      <c r="J4787" s="2">
        <f>HYPERLINK("https://app.astro.lead-studio.pro/product/4dd8b499-c9a8-403f-ac9b-4d7f999f501b")</f>
      </c>
    </row>
    <row r="4788" spans="1:10" customHeight="0">
      <c r="A4788" s="2" t="inlineStr">
        <is>
          <t>Видеонаблюдение</t>
        </is>
      </c>
      <c r="B4788" s="2" t="inlineStr">
        <is>
          <t>DAHUA</t>
        </is>
      </c>
      <c r="C4788" s="2" t="inlineStr">
        <is>
          <t>DH-SD4E225GB-HNR-A-PV1</t>
        </is>
      </c>
      <c r="D4788" s="2" t="inlineStr">
        <is>
          <t>Камера видеонаблюдения IP Dahua DH-SD4E225GB-HNR-A-PV1 4.8-120мм цв. корп.:белый</t>
        </is>
      </c>
      <c r="E4788" s="2" t="inlineStr">
        <is>
          <t>+ </t>
        </is>
      </c>
      <c r="F4788" s="2" t="inlineStr">
        <is>
          <t>+ </t>
        </is>
      </c>
      <c r="H4788" s="2">
        <v>445</v>
      </c>
      <c r="I4788" s="2" t="inlineStr">
        <is>
          <t>$</t>
        </is>
      </c>
      <c r="J4788" s="2">
        <f>HYPERLINK("https://app.astro.lead-studio.pro/product/81756dee-a104-49c7-b1a0-ae0c3b56febe")</f>
      </c>
    </row>
    <row r="4789" spans="1:10" customHeight="0">
      <c r="A4789" s="2" t="inlineStr">
        <is>
          <t>Видеонаблюдение</t>
        </is>
      </c>
      <c r="B4789" s="2" t="inlineStr">
        <is>
          <t>DAHUA</t>
        </is>
      </c>
      <c r="C4789" s="2" t="inlineStr">
        <is>
          <t>DH-SD50432GB-HNR</t>
        </is>
      </c>
      <c r="D4789" s="2" t="inlineStr">
        <is>
          <t>Камера видеонаблюдения IP Dahua DH-SD50432GB-HNR 4.8-154мм цв. корп.:белый</t>
        </is>
      </c>
      <c r="E4789" s="2" t="inlineStr">
        <is>
          <t>+ </t>
        </is>
      </c>
      <c r="F4789" s="2" t="inlineStr">
        <is>
          <t>+ </t>
        </is>
      </c>
      <c r="H4789" s="2">
        <v>870</v>
      </c>
      <c r="I4789" s="2" t="inlineStr">
        <is>
          <t>$</t>
        </is>
      </c>
      <c r="J4789" s="2">
        <f>HYPERLINK("https://app.astro.lead-studio.pro/product/1f5ec1e2-13bd-44af-a225-d6a988e38a19")</f>
      </c>
    </row>
    <row r="4790" spans="1:10" customHeight="0">
      <c r="A4790" s="2" t="inlineStr">
        <is>
          <t>Видеонаблюдение</t>
        </is>
      </c>
      <c r="B4790" s="2" t="inlineStr">
        <is>
          <t>DAHUA</t>
        </is>
      </c>
      <c r="C4790" s="2" t="inlineStr">
        <is>
          <t>DH-SD5A225GB-HNR</t>
        </is>
      </c>
      <c r="D4790" s="2" t="inlineStr">
        <is>
          <t>Камера видеонаблюдения IP Dahua DH-SD5A225GB-HNR 4.8-120мм корп.:белый</t>
        </is>
      </c>
      <c r="E4790" s="2" t="inlineStr">
        <is>
          <t>+ </t>
        </is>
      </c>
      <c r="F4790" s="2" t="inlineStr">
        <is>
          <t>+ </t>
        </is>
      </c>
      <c r="H4790" s="2">
        <v>628</v>
      </c>
      <c r="I4790" s="2" t="inlineStr">
        <is>
          <t>$</t>
        </is>
      </c>
      <c r="J4790" s="2">
        <f>HYPERLINK("https://app.astro.lead-studio.pro/product/43d74460-95e8-4e46-a743-27b7bfed0ed7")</f>
      </c>
    </row>
    <row r="4791" spans="1:10" customHeight="0">
      <c r="A4791" s="2" t="inlineStr">
        <is>
          <t>Видеонаблюдение</t>
        </is>
      </c>
      <c r="B4791" s="2" t="inlineStr">
        <is>
          <t>DAHUA</t>
        </is>
      </c>
      <c r="C4791" s="2" t="inlineStr">
        <is>
          <t>DH-SD5A245GB-HNR</t>
        </is>
      </c>
      <c r="D4791" s="2" t="inlineStr">
        <is>
          <t>Камера видеонаблюдения IP Dahua DH-SD5A245GB-HNR 3.95-177.75мм цв. корп.:белый/черный</t>
        </is>
      </c>
      <c r="E4791" s="2" t="inlineStr">
        <is>
          <t>+ </t>
        </is>
      </c>
      <c r="F4791" s="2" t="inlineStr">
        <is>
          <t>+ </t>
        </is>
      </c>
      <c r="H4791" s="2">
        <v>1713</v>
      </c>
      <c r="I4791" s="2" t="inlineStr">
        <is>
          <t>$</t>
        </is>
      </c>
      <c r="J4791" s="2">
        <f>HYPERLINK("https://app.astro.lead-studio.pro/product/ecf2cf3d-e6d3-4fce-958f-0757ef53bda3")</f>
      </c>
    </row>
    <row r="4792" spans="1:10" customHeight="0">
      <c r="A4792" s="2" t="inlineStr">
        <is>
          <t>Видеонаблюдение</t>
        </is>
      </c>
      <c r="B4792" s="2" t="inlineStr">
        <is>
          <t>DAHUA</t>
        </is>
      </c>
      <c r="C4792" s="2" t="inlineStr">
        <is>
          <t>DH-SD5A425GA-HNR</t>
        </is>
      </c>
      <c r="D4792" s="2" t="inlineStr">
        <is>
          <t>Камера видеонаблюдения IP Dahua DH-SD5A425GA-HNR 5.4-135мм корп.:белый</t>
        </is>
      </c>
      <c r="E4792" s="2" t="inlineStr">
        <is>
          <t>+ </t>
        </is>
      </c>
      <c r="F4792" s="2" t="inlineStr">
        <is>
          <t>+ </t>
        </is>
      </c>
      <c r="H4792" s="2">
        <v>1193</v>
      </c>
      <c r="I4792" s="2" t="inlineStr">
        <is>
          <t>$</t>
        </is>
      </c>
      <c r="J4792" s="2">
        <f>HYPERLINK("https://app.astro.lead-studio.pro/product/d7f0dcee-53df-4970-a6e9-0b5c0bdc5cdb")</f>
      </c>
    </row>
    <row r="4793" spans="1:10" customHeight="0">
      <c r="A4793" s="2" t="inlineStr">
        <is>
          <t>Видеонаблюдение</t>
        </is>
      </c>
      <c r="B4793" s="2" t="inlineStr">
        <is>
          <t>DAHUA</t>
        </is>
      </c>
      <c r="C4793" s="2" t="inlineStr">
        <is>
          <t>DH-SD5A432GB-HNR</t>
        </is>
      </c>
      <c r="D4793" s="2" t="inlineStr">
        <is>
          <t>Камера видеонаблюдения IP Dahua DH-SD5A432GB-HNR 4.8-154мм цв. корп.:белый</t>
        </is>
      </c>
      <c r="E4793" s="2" t="inlineStr">
        <is>
          <t>++ </t>
        </is>
      </c>
      <c r="F4793" s="2" t="inlineStr">
        <is>
          <t>++ </t>
        </is>
      </c>
      <c r="H4793" s="2">
        <v>911</v>
      </c>
      <c r="I4793" s="2" t="inlineStr">
        <is>
          <t>$</t>
        </is>
      </c>
      <c r="J4793" s="2">
        <f>HYPERLINK("https://app.astro.lead-studio.pro/product/12dd0c43-0864-4e6b-9c1c-df37b5d28164")</f>
      </c>
    </row>
    <row r="4794" spans="1:10" customHeight="0">
      <c r="A4794" s="2" t="inlineStr">
        <is>
          <t>Видеонаблюдение</t>
        </is>
      </c>
      <c r="B4794" s="2" t="inlineStr">
        <is>
          <t>DAHUA</t>
        </is>
      </c>
      <c r="C4794" s="2" t="inlineStr">
        <is>
          <t>DH-SD5A445GB-HNR</t>
        </is>
      </c>
      <c r="D4794" s="2" t="inlineStr">
        <is>
          <t>Камера видеонаблюдения IP Dahua DH-SD5A445GB-HNR 3.95-177.7мм цв. корп.:белый</t>
        </is>
      </c>
      <c r="E4794" s="2" t="inlineStr">
        <is>
          <t>+ </t>
        </is>
      </c>
      <c r="F4794" s="2" t="inlineStr">
        <is>
          <t>+ </t>
        </is>
      </c>
      <c r="H4794" s="2">
        <v>1983</v>
      </c>
      <c r="I4794" s="2" t="inlineStr">
        <is>
          <t>$</t>
        </is>
      </c>
      <c r="J4794" s="2">
        <f>HYPERLINK("https://app.astro.lead-studio.pro/product/944cfe49-054b-4436-b727-b4204baad214")</f>
      </c>
    </row>
    <row r="4795" spans="1:10" customHeight="0">
      <c r="A4795" s="2" t="inlineStr">
        <is>
          <t>Видеонаблюдение</t>
        </is>
      </c>
      <c r="B4795" s="2" t="inlineStr">
        <is>
          <t>DAHUA</t>
        </is>
      </c>
      <c r="C4795" s="2" t="inlineStr">
        <is>
          <t>DHI-ITC413-PW4D-IZ1(868MHZ)</t>
        </is>
      </c>
      <c r="D4795" s="2" t="inlineStr">
        <is>
          <t>Камера видеонаблюдения IP Dahua DHI-ITC413-PW4D-IZ1(868MHz) 2.7-12мм цв. корп.:белый</t>
        </is>
      </c>
      <c r="E4795" s="2" t="inlineStr">
        <is>
          <t>+ </t>
        </is>
      </c>
      <c r="F4795" s="2" t="inlineStr">
        <is>
          <t>+ </t>
        </is>
      </c>
      <c r="H4795" s="2">
        <v>581</v>
      </c>
      <c r="I4795" s="2" t="inlineStr">
        <is>
          <t>$</t>
        </is>
      </c>
      <c r="J4795" s="2">
        <f>HYPERLINK("https://app.astro.lead-studio.pro/product/e0f8f7a0-85e0-4f73-a14c-33e8e5b6ffc4")</f>
      </c>
    </row>
    <row r="4796" spans="1:10" customHeight="0">
      <c r="A4796" s="2" t="inlineStr">
        <is>
          <t>Видеонаблюдение</t>
        </is>
      </c>
      <c r="B4796" s="2" t="inlineStr">
        <is>
          <t>DAHUA</t>
        </is>
      </c>
      <c r="C4796" s="2" t="inlineStr">
        <is>
          <t>DHI-ITC413-PW4D-IZ3(868MHZ)</t>
        </is>
      </c>
      <c r="D4796" s="2" t="inlineStr">
        <is>
          <t>Камера видеонаблюдения IP Dahua DHI-ITC413-PW4D-IZ3(868MHz) 8-32мм цв.</t>
        </is>
      </c>
      <c r="E4796" s="2" t="inlineStr">
        <is>
          <t>+ </t>
        </is>
      </c>
      <c r="F4796" s="2" t="inlineStr">
        <is>
          <t>+ </t>
        </is>
      </c>
      <c r="H4796" s="2">
        <v>623</v>
      </c>
      <c r="I4796" s="2" t="inlineStr">
        <is>
          <t>$</t>
        </is>
      </c>
      <c r="J4796" s="2">
        <f>HYPERLINK("https://app.astro.lead-studio.pro/product/6ca42bee-1c20-4662-8f14-7d2a010923df")</f>
      </c>
    </row>
    <row r="4797" spans="1:10" customHeight="0">
      <c r="A4797" s="2" t="inlineStr">
        <is>
          <t>Видеонаблюдение</t>
        </is>
      </c>
      <c r="B4797" s="2" t="inlineStr">
        <is>
          <t>DAHUA</t>
        </is>
      </c>
      <c r="C4797" s="2" t="inlineStr">
        <is>
          <t>DH-SD4E425GB-HNR-A-PV1</t>
        </is>
      </c>
      <c r="D4797" s="2" t="inlineStr">
        <is>
          <t>Камера видеонаблюдения IP Dahua PTZ DH-SD4E425GB-HNR-A-PV1 5-125мм цв. корп.:белый</t>
        </is>
      </c>
      <c r="E4797" s="2" t="inlineStr">
        <is>
          <t>+ </t>
        </is>
      </c>
      <c r="F4797" s="2" t="inlineStr">
        <is>
          <t>+ </t>
        </is>
      </c>
      <c r="H4797" s="2">
        <v>545</v>
      </c>
      <c r="I4797" s="2" t="inlineStr">
        <is>
          <t>$</t>
        </is>
      </c>
      <c r="J4797" s="2">
        <f>HYPERLINK("https://app.astro.lead-studio.pro/product/e279b8a4-1073-45a5-95b7-d93a0dc379ad")</f>
      </c>
    </row>
    <row r="4798" spans="1:10" customHeight="0">
      <c r="A4798" s="2" t="inlineStr">
        <is>
          <t>Видеонаблюдение</t>
        </is>
      </c>
      <c r="B4798" s="2" t="inlineStr">
        <is>
          <t>DAHUA</t>
        </is>
      </c>
      <c r="C4798" s="2" t="inlineStr">
        <is>
          <t>DH-SD4E825GB-HNR-A-PV1</t>
        </is>
      </c>
      <c r="D4798" s="2" t="inlineStr">
        <is>
          <t>Камера видеонаблюдения IP Dahua PTZ DH-SD4E825GB-HNR-A-PV1 5-125мм цв. корп.:белый</t>
        </is>
      </c>
      <c r="E4798" s="2" t="inlineStr">
        <is>
          <t>+ </t>
        </is>
      </c>
      <c r="F4798" s="2" t="inlineStr">
        <is>
          <t>+ </t>
        </is>
      </c>
      <c r="H4798" s="2">
        <v>690</v>
      </c>
      <c r="I4798" s="2" t="inlineStr">
        <is>
          <t>$</t>
        </is>
      </c>
      <c r="J4798" s="2">
        <f>HYPERLINK("https://app.astro.lead-studio.pro/product/841cd3c0-b7d2-45d3-99b2-537da046914e")</f>
      </c>
    </row>
    <row r="4799" spans="1:10" customHeight="0">
      <c r="A4799" s="2" t="inlineStr">
        <is>
          <t>Видеонаблюдение</t>
        </is>
      </c>
      <c r="B4799" s="2" t="inlineStr">
        <is>
          <t>DAHUA</t>
        </is>
      </c>
      <c r="C4799" s="2" t="inlineStr">
        <is>
          <t>DH-SDT4E425-4F-GB-A-PV1</t>
        </is>
      </c>
      <c r="D4799" s="2" t="inlineStr">
        <is>
          <t>Камера видеонаблюдения IP Dahua PTZ DH-SDT4E425-4F-GB-A-PV1 2.8-2.8мм цв. корп.:белый</t>
        </is>
      </c>
      <c r="E4799" s="2" t="inlineStr">
        <is>
          <t>+ </t>
        </is>
      </c>
      <c r="F4799" s="2" t="inlineStr">
        <is>
          <t>+ </t>
        </is>
      </c>
      <c r="H4799" s="2">
        <v>635</v>
      </c>
      <c r="I4799" s="2" t="inlineStr">
        <is>
          <t>$</t>
        </is>
      </c>
      <c r="J4799" s="2">
        <f>HYPERLINK("https://app.astro.lead-studio.pro/product/db47dc9f-244e-48de-81fe-12ca1f4e54ea")</f>
      </c>
    </row>
    <row r="4800" spans="1:10" customHeight="0">
      <c r="A4800" s="2" t="inlineStr">
        <is>
          <t>Видеонаблюдение</t>
        </is>
      </c>
      <c r="B4800" s="2" t="inlineStr">
        <is>
          <t>HIKVISION</t>
        </is>
      </c>
      <c r="C4800" s="2" t="inlineStr">
        <is>
          <t>DS-2CD2647G2HT-LIZS (2.8-12MM)</t>
        </is>
      </c>
      <c r="D4800" s="2" t="inlineStr">
        <is>
          <t>Камера видеонаблюдения IP Hikvision DS-2CD2647G2HT-LIZS (2.8-12mm) 2.8-12мм цв. корп.:белый</t>
        </is>
      </c>
      <c r="E4800" s="2" t="inlineStr">
        <is>
          <t>+++ </t>
        </is>
      </c>
      <c r="F4800" s="2" t="inlineStr">
        <is>
          <t>+++ </t>
        </is>
      </c>
      <c r="H4800" s="2">
        <v>397</v>
      </c>
      <c r="I4800" s="2" t="inlineStr">
        <is>
          <t>$</t>
        </is>
      </c>
      <c r="J4800" s="2">
        <f>HYPERLINK("https://app.astro.lead-studio.pro/product/18694491-1f4d-480d-a3d2-56d24ea04750")</f>
      </c>
    </row>
    <row r="4801" spans="1:10" customHeight="0">
      <c r="A4801" s="2" t="inlineStr">
        <is>
          <t>Видеонаблюдение</t>
        </is>
      </c>
      <c r="B4801" s="2" t="inlineStr">
        <is>
          <t>HIKVISION</t>
        </is>
      </c>
      <c r="C4801" s="2" t="inlineStr">
        <is>
          <t>DS-2CD2747G2HT-LIZS(2.8-12MM)</t>
        </is>
      </c>
      <c r="D4801" s="2" t="inlineStr">
        <is>
          <t>Камера видеонаблюдения IP Hikvision DS-2CD2747G2HT-LIZS(2.8-12MM) 2.8-12мм корп.:серый</t>
        </is>
      </c>
      <c r="E4801" s="2" t="inlineStr">
        <is>
          <t>++ </t>
        </is>
      </c>
      <c r="F4801" s="2" t="inlineStr">
        <is>
          <t>++ </t>
        </is>
      </c>
      <c r="H4801" s="2">
        <v>401</v>
      </c>
      <c r="I4801" s="2" t="inlineStr">
        <is>
          <t>$</t>
        </is>
      </c>
      <c r="J4801" s="2">
        <f>HYPERLINK("https://app.astro.lead-studio.pro/product/62391ec7-b471-4605-adab-481f3f97681f")</f>
      </c>
    </row>
    <row r="4802" spans="1:10" customHeight="0">
      <c r="A4802" s="2" t="inlineStr">
        <is>
          <t>Видеонаблюдение</t>
        </is>
      </c>
      <c r="B4802" s="2" t="inlineStr">
        <is>
          <t>HIKVISION</t>
        </is>
      </c>
      <c r="C4802" s="2" t="inlineStr">
        <is>
          <t>DS-2DE7A432IW-AEB</t>
        </is>
      </c>
      <c r="D4802" s="2" t="inlineStr">
        <is>
          <t>Камера видеонаблюдения IP Hikvision DS-2DE7A432IW-AEB 5.9-188.8мм цв. корп.:белый</t>
        </is>
      </c>
      <c r="E4802" s="2" t="inlineStr">
        <is>
          <t>+ </t>
        </is>
      </c>
      <c r="F4802" s="2" t="inlineStr">
        <is>
          <t>+ </t>
        </is>
      </c>
      <c r="H4802" s="2">
        <v>641</v>
      </c>
      <c r="I4802" s="2" t="inlineStr">
        <is>
          <t>$</t>
        </is>
      </c>
      <c r="J4802" s="2">
        <f>HYPERLINK("https://app.astro.lead-studio.pro/product/46682fb0-537a-41d8-88a7-046c9acbc764")</f>
      </c>
    </row>
    <row r="4803" spans="1:10" customHeight="0">
      <c r="A4803" s="2" t="inlineStr">
        <is>
          <t>Видеонаблюдение</t>
        </is>
      </c>
      <c r="B4803" s="2" t="inlineStr">
        <is>
          <t>HIWATCH</t>
        </is>
      </c>
      <c r="C4803" s="2" t="inlineStr">
        <is>
          <t>DS-I225(D)</t>
        </is>
      </c>
      <c r="D4803" s="2" t="inlineStr">
        <is>
          <t>Камера видеонаблюдения IP HiWatch DS-I225(D) 4.8-120мм цв. корп.:белый</t>
        </is>
      </c>
      <c r="E4803" s="2" t="inlineStr">
        <is>
          <t>+ </t>
        </is>
      </c>
      <c r="F4803" s="2" t="inlineStr">
        <is>
          <t>+ </t>
        </is>
      </c>
      <c r="H4803" s="2">
        <v>360</v>
      </c>
      <c r="I4803" s="2" t="inlineStr">
        <is>
          <t>$</t>
        </is>
      </c>
      <c r="J4803" s="2">
        <f>HYPERLINK("https://app.astro.lead-studio.pro/product/7eb0c7fc-0636-44d4-b307-e2378844b2bf")</f>
      </c>
    </row>
    <row r="4804" spans="1:10" customHeight="0">
      <c r="A4804" s="2" t="inlineStr">
        <is>
          <t>Видеонаблюдение</t>
        </is>
      </c>
      <c r="B4804" s="2" t="inlineStr">
        <is>
          <t>TIANDY</t>
        </is>
      </c>
      <c r="C4804" s="2" t="inlineStr">
        <is>
          <t>TC-H354S 23X/I/E/V3.1</t>
        </is>
      </c>
      <c r="D4804" s="2" t="inlineStr">
        <is>
          <t>Камера видеонаблюдения IP Tiandy Pro TC-H354S 23X/I/E/V3.1 5.5-115мм цв. корп.:белый</t>
        </is>
      </c>
      <c r="E4804" s="2" t="inlineStr">
        <is>
          <t>+ </t>
        </is>
      </c>
      <c r="F4804" s="2" t="inlineStr">
        <is>
          <t>+ </t>
        </is>
      </c>
      <c r="H4804" s="2">
        <v>661</v>
      </c>
      <c r="I4804" s="2" t="inlineStr">
        <is>
          <t>$</t>
        </is>
      </c>
      <c r="J4804" s="2">
        <f>HYPERLINK("https://app.astro.lead-studio.pro/product/6b678dd4-0c9f-494e-b897-3966677927ae")</f>
      </c>
    </row>
    <row r="4805" spans="1:10" customHeight="0">
      <c r="A4805" s="2" t="inlineStr">
        <is>
          <t>Видеонаблюдение</t>
        </is>
      </c>
      <c r="B4805" s="2" t="inlineStr">
        <is>
          <t>DAHUA</t>
        </is>
      </c>
      <c r="C4805" s="2" t="inlineStr">
        <is>
          <t>DH-SD49225DB-HC</t>
        </is>
      </c>
      <c r="D4805" s="2" t="inlineStr">
        <is>
          <t>Камера видеонаблюдения аналоговая Dahua DH-SD49225DB-HC 4.8-120мм HD-CVI HD-TVI цв. корп.:белый</t>
        </is>
      </c>
      <c r="E4805" s="2" t="inlineStr">
        <is>
          <t>+ </t>
        </is>
      </c>
      <c r="F4805" s="2" t="inlineStr">
        <is>
          <t>+ </t>
        </is>
      </c>
      <c r="H4805" s="2">
        <v>383</v>
      </c>
      <c r="I4805" s="2" t="inlineStr">
        <is>
          <t>$</t>
        </is>
      </c>
      <c r="J4805" s="2">
        <f>HYPERLINK("https://app.astro.lead-studio.pro/product/4f748147-e7da-464b-9912-3d484edac3db")</f>
      </c>
    </row>
    <row r="4806" spans="1:10" customHeight="0">
      <c r="A4806" s="2" t="inlineStr">
        <is>
          <t>Видеонаблюдение</t>
        </is>
      </c>
      <c r="B4806" s="2" t="inlineStr">
        <is>
          <t>DAHUA</t>
        </is>
      </c>
      <c r="C4806" s="2" t="inlineStr">
        <is>
          <t>DH-XVR5116H-4KL-I3</t>
        </is>
      </c>
      <c r="D4806" s="2" t="inlineStr">
        <is>
          <t>Видеорегистратор Dahua DH-XVR5116H-4KL-I3</t>
        </is>
      </c>
      <c r="E4806" s="2" t="inlineStr">
        <is>
          <t>+ </t>
        </is>
      </c>
      <c r="F4806" s="2" t="inlineStr">
        <is>
          <t>+ </t>
        </is>
      </c>
      <c r="H4806" s="2">
        <v>388</v>
      </c>
      <c r="I4806" s="2" t="inlineStr">
        <is>
          <t>$</t>
        </is>
      </c>
      <c r="J4806" s="2">
        <f>HYPERLINK("https://app.astro.lead-studio.pro/product/d7fc8beb-329c-4db8-8f70-82165c82f35f")</f>
      </c>
    </row>
    <row r="4807" spans="1:10" customHeight="0">
      <c r="A4807" s="2" t="inlineStr">
        <is>
          <t>Видеонаблюдение</t>
        </is>
      </c>
      <c r="B4807" s="2" t="inlineStr">
        <is>
          <t>DAHUA</t>
        </is>
      </c>
      <c r="C4807" s="2" t="inlineStr">
        <is>
          <t>DH-XVR5216AN-4KL-I3</t>
        </is>
      </c>
      <c r="D4807" s="2" t="inlineStr">
        <is>
          <t>Видеорегистратор Dahua DH-XVR5216AN-4KL-I3</t>
        </is>
      </c>
      <c r="E4807" s="2" t="inlineStr">
        <is>
          <t>+ </t>
        </is>
      </c>
      <c r="F4807" s="2" t="inlineStr">
        <is>
          <t>+ </t>
        </is>
      </c>
      <c r="H4807" s="2">
        <v>426</v>
      </c>
      <c r="I4807" s="2" t="inlineStr">
        <is>
          <t>$</t>
        </is>
      </c>
      <c r="J4807" s="2">
        <f>HYPERLINK("https://app.astro.lead-studio.pro/product/9518e218-43ae-4bd0-ae2e-32cc9cc596e2")</f>
      </c>
    </row>
    <row r="4808" spans="1:10" customHeight="0">
      <c r="A4808" s="2" t="inlineStr">
        <is>
          <t>Видеонаблюдение</t>
        </is>
      </c>
      <c r="B4808" s="2" t="inlineStr">
        <is>
          <t>DAHUA</t>
        </is>
      </c>
      <c r="C4808" s="2" t="inlineStr">
        <is>
          <t>DH-XVR5216AN-5M-I3</t>
        </is>
      </c>
      <c r="D4808" s="2" t="inlineStr">
        <is>
          <t>Видеорегистратор Dahua DH-XVR5216AN-5M-I3</t>
        </is>
      </c>
      <c r="E4808" s="2" t="inlineStr">
        <is>
          <t>+ </t>
        </is>
      </c>
      <c r="F4808" s="2" t="inlineStr">
        <is>
          <t>+ </t>
        </is>
      </c>
      <c r="H4808" s="2">
        <v>343</v>
      </c>
      <c r="I4808" s="2" t="inlineStr">
        <is>
          <t>$</t>
        </is>
      </c>
      <c r="J4808" s="2">
        <f>HYPERLINK("https://app.astro.lead-studio.pro/product/c21e63f3-f96e-4d9a-af76-a716603420d7")</f>
      </c>
    </row>
    <row r="4809" spans="1:10" customHeight="0">
      <c r="A4809" s="2" t="inlineStr">
        <is>
          <t>Видеонаблюдение</t>
        </is>
      </c>
      <c r="B4809" s="2" t="inlineStr">
        <is>
          <t>DAHUA</t>
        </is>
      </c>
      <c r="C4809" s="2" t="inlineStr">
        <is>
          <t>DH-XVR5232AN-I3</t>
        </is>
      </c>
      <c r="D4809" s="2" t="inlineStr">
        <is>
          <t>Видеорегистратор Dahua DH-XVR5232AN-I3</t>
        </is>
      </c>
      <c r="E4809" s="2" t="inlineStr">
        <is>
          <t>+ </t>
        </is>
      </c>
      <c r="F4809" s="2" t="inlineStr">
        <is>
          <t>+ </t>
        </is>
      </c>
      <c r="H4809" s="2">
        <v>487</v>
      </c>
      <c r="I4809" s="2" t="inlineStr">
        <is>
          <t>$</t>
        </is>
      </c>
      <c r="J4809" s="2">
        <f>HYPERLINK("https://app.astro.lead-studio.pro/product/2fbecb67-3ebe-4f5b-a174-4b5658e4967f")</f>
      </c>
    </row>
    <row r="4810" spans="1:10" customHeight="0">
      <c r="A4810" s="2" t="inlineStr">
        <is>
          <t>Видеонаблюдение</t>
        </is>
      </c>
      <c r="B4810" s="2" t="inlineStr">
        <is>
          <t>DAHUA</t>
        </is>
      </c>
      <c r="C4810" s="2" t="inlineStr">
        <is>
          <t>DH-XVR5832S-I3</t>
        </is>
      </c>
      <c r="D4810" s="2" t="inlineStr">
        <is>
          <t>Видеорегистратор Dahua DH-XVR5832S-I3</t>
        </is>
      </c>
      <c r="E4810" s="2" t="inlineStr">
        <is>
          <t>+ </t>
        </is>
      </c>
      <c r="F4810" s="2" t="inlineStr">
        <is>
          <t>+ </t>
        </is>
      </c>
      <c r="H4810" s="2">
        <v>890</v>
      </c>
      <c r="I4810" s="2" t="inlineStr">
        <is>
          <t>$</t>
        </is>
      </c>
      <c r="J4810" s="2">
        <f>HYPERLINK("https://app.astro.lead-studio.pro/product/4e824b65-608c-4a4a-b3b7-6212582687b9")</f>
      </c>
    </row>
    <row r="4811" spans="1:10" customHeight="0">
      <c r="A4811" s="2" t="inlineStr">
        <is>
          <t>Видеонаблюдение</t>
        </is>
      </c>
      <c r="B4811" s="2" t="inlineStr">
        <is>
          <t>DAHUA</t>
        </is>
      </c>
      <c r="C4811" s="2" t="inlineStr">
        <is>
          <t>DHI-NVR4116HS-8P-4KS3</t>
        </is>
      </c>
      <c r="D4811" s="2" t="inlineStr">
        <is>
          <t>Видеорегистратор Dahua DHI-NVR4116HS-8P-4KS3</t>
        </is>
      </c>
      <c r="E4811" s="2" t="inlineStr">
        <is>
          <t>+ </t>
        </is>
      </c>
      <c r="F4811" s="2" t="inlineStr">
        <is>
          <t>+ </t>
        </is>
      </c>
      <c r="H4811" s="2">
        <v>445</v>
      </c>
      <c r="I4811" s="2" t="inlineStr">
        <is>
          <t>$</t>
        </is>
      </c>
      <c r="J4811" s="2">
        <f>HYPERLINK("https://app.astro.lead-studio.pro/product/5b2c5ff9-7926-43c5-ad17-f70987eb1ee3")</f>
      </c>
    </row>
    <row r="4812" spans="1:10" customHeight="0">
      <c r="A4812" s="2" t="inlineStr">
        <is>
          <t>Видеонаблюдение</t>
        </is>
      </c>
      <c r="B4812" s="2" t="inlineStr">
        <is>
          <t>DAHUA</t>
        </is>
      </c>
      <c r="C4812" s="2" t="inlineStr">
        <is>
          <t>DHI-NVR4216-16P-EI</t>
        </is>
      </c>
      <c r="D4812" s="2" t="inlineStr">
        <is>
          <t>Видеорегистратор Dahua DHI-NVR4216-16P-EI</t>
        </is>
      </c>
      <c r="E4812" s="2" t="inlineStr">
        <is>
          <t>+ </t>
        </is>
      </c>
      <c r="F4812" s="2" t="inlineStr">
        <is>
          <t>+ </t>
        </is>
      </c>
      <c r="H4812" s="2">
        <v>377</v>
      </c>
      <c r="I4812" s="2" t="inlineStr">
        <is>
          <t>$</t>
        </is>
      </c>
      <c r="J4812" s="2">
        <f>HYPERLINK("https://app.astro.lead-studio.pro/product/990b7344-b58f-443c-9e2b-c09cab240ac3")</f>
      </c>
    </row>
    <row r="4813" spans="1:10" customHeight="0">
      <c r="A4813" s="2" t="inlineStr">
        <is>
          <t>Видеонаблюдение</t>
        </is>
      </c>
      <c r="B4813" s="2" t="inlineStr">
        <is>
          <t>DAHUA</t>
        </is>
      </c>
      <c r="C4813" s="2" t="inlineStr">
        <is>
          <t>DHI-NVR4416-EI</t>
        </is>
      </c>
      <c r="D4813" s="2" t="inlineStr">
        <is>
          <t>Видеорегистратор Dahua DHI-NVR4416-EI</t>
        </is>
      </c>
      <c r="E4813" s="2" t="inlineStr">
        <is>
          <t>+ </t>
        </is>
      </c>
      <c r="F4813" s="2" t="inlineStr">
        <is>
          <t>+ </t>
        </is>
      </c>
      <c r="H4813" s="2">
        <v>450</v>
      </c>
      <c r="I4813" s="2" t="inlineStr">
        <is>
          <t>$</t>
        </is>
      </c>
      <c r="J4813" s="2">
        <f>HYPERLINK("https://app.astro.lead-studio.pro/product/f0bbb69b-351e-47bc-acde-f654d2ec76ec")</f>
      </c>
    </row>
    <row r="4814" spans="1:10" customHeight="0">
      <c r="A4814" s="2" t="inlineStr">
        <is>
          <t>Видеонаблюдение</t>
        </is>
      </c>
      <c r="B4814" s="2" t="inlineStr">
        <is>
          <t>DAHUA</t>
        </is>
      </c>
      <c r="C4814" s="2" t="inlineStr">
        <is>
          <t>DHI-NVR5208-8P-EI</t>
        </is>
      </c>
      <c r="D4814" s="2" t="inlineStr">
        <is>
          <t>Видеорегистратор Dahua DHI-NVR5208-8P-EI</t>
        </is>
      </c>
      <c r="E4814" s="2" t="inlineStr">
        <is>
          <t>+ </t>
        </is>
      </c>
      <c r="F4814" s="2" t="inlineStr">
        <is>
          <t>+ </t>
        </is>
      </c>
      <c r="H4814" s="2">
        <v>519</v>
      </c>
      <c r="I4814" s="2" t="inlineStr">
        <is>
          <t>$</t>
        </is>
      </c>
      <c r="J4814" s="2">
        <f>HYPERLINK("https://app.astro.lead-studio.pro/product/b351f24e-3f6b-4bc9-9e99-767106b273e6")</f>
      </c>
    </row>
    <row r="4815" spans="1:10" customHeight="0">
      <c r="A4815" s="2" t="inlineStr">
        <is>
          <t>Видеонаблюдение</t>
        </is>
      </c>
      <c r="B4815" s="2" t="inlineStr">
        <is>
          <t>DAHUA</t>
        </is>
      </c>
      <c r="C4815" s="2" t="inlineStr">
        <is>
          <t>DHI-NVR5216-16P-EI</t>
        </is>
      </c>
      <c r="D4815" s="2" t="inlineStr">
        <is>
          <t>Видеорегистратор Dahua DHI-NVR5216-16P-EI</t>
        </is>
      </c>
      <c r="E4815" s="2" t="inlineStr">
        <is>
          <t>+ </t>
        </is>
      </c>
      <c r="F4815" s="2" t="inlineStr">
        <is>
          <t>+ </t>
        </is>
      </c>
      <c r="H4815" s="2">
        <v>707</v>
      </c>
      <c r="I4815" s="2" t="inlineStr">
        <is>
          <t>$</t>
        </is>
      </c>
      <c r="J4815" s="2">
        <f>HYPERLINK("https://app.astro.lead-studio.pro/product/fa17bc23-3a9f-48d3-806d-0fc0b446ded9")</f>
      </c>
    </row>
    <row r="4816" spans="1:10" customHeight="0">
      <c r="A4816" s="2" t="inlineStr">
        <is>
          <t>Видеонаблюдение</t>
        </is>
      </c>
      <c r="B4816" s="2" t="inlineStr">
        <is>
          <t>DAHUA</t>
        </is>
      </c>
      <c r="C4816" s="2" t="inlineStr">
        <is>
          <t>DHI-NVR5216-EI</t>
        </is>
      </c>
      <c r="D4816" s="2" t="inlineStr">
        <is>
          <t>Видеорегистратор Dahua DHI-NVR5216-EI</t>
        </is>
      </c>
      <c r="E4816" s="2" t="inlineStr">
        <is>
          <t>++ </t>
        </is>
      </c>
      <c r="F4816" s="2" t="inlineStr">
        <is>
          <t>++ </t>
        </is>
      </c>
      <c r="H4816" s="2">
        <v>372</v>
      </c>
      <c r="I4816" s="2" t="inlineStr">
        <is>
          <t>$</t>
        </is>
      </c>
      <c r="J4816" s="2">
        <f>HYPERLINK("https://app.astro.lead-studio.pro/product/ee6423cc-2814-4edb-961e-4c1bacc2ebfd")</f>
      </c>
    </row>
    <row r="4817" spans="1:10" customHeight="0">
      <c r="A4817" s="2" t="inlineStr">
        <is>
          <t>Видеонаблюдение</t>
        </is>
      </c>
      <c r="B4817" s="2" t="inlineStr">
        <is>
          <t>DAHUA</t>
        </is>
      </c>
      <c r="C4817" s="2" t="inlineStr">
        <is>
          <t>DHI-NVR5232-EI</t>
        </is>
      </c>
      <c r="D4817" s="2" t="inlineStr">
        <is>
          <t>Видеорегистратор Dahua DHI-NVR5232-EI</t>
        </is>
      </c>
      <c r="E4817" s="2" t="inlineStr">
        <is>
          <t>++ </t>
        </is>
      </c>
      <c r="F4817" s="2" t="inlineStr">
        <is>
          <t>++ </t>
        </is>
      </c>
      <c r="H4817" s="2">
        <v>439</v>
      </c>
      <c r="I4817" s="2" t="inlineStr">
        <is>
          <t>$</t>
        </is>
      </c>
      <c r="J4817" s="2">
        <f>HYPERLINK("https://app.astro.lead-studio.pro/product/fda09a36-5563-4aa9-862c-3d60f0ed0032")</f>
      </c>
    </row>
    <row r="4818" spans="1:10" customHeight="0">
      <c r="A4818" s="2" t="inlineStr">
        <is>
          <t>Видеонаблюдение</t>
        </is>
      </c>
      <c r="B4818" s="2" t="inlineStr">
        <is>
          <t>DAHUA</t>
        </is>
      </c>
      <c r="C4818" s="2" t="inlineStr">
        <is>
          <t>DHI-NVR5416-16P-EI</t>
        </is>
      </c>
      <c r="D4818" s="2" t="inlineStr">
        <is>
          <t>Видеорегистратор Dahua DHI-NVR5416-16P-EI</t>
        </is>
      </c>
      <c r="E4818" s="2" t="inlineStr">
        <is>
          <t>+ </t>
        </is>
      </c>
      <c r="F4818" s="2" t="inlineStr">
        <is>
          <t>+ </t>
        </is>
      </c>
      <c r="H4818" s="2">
        <v>1381</v>
      </c>
      <c r="I4818" s="2" t="inlineStr">
        <is>
          <t>$</t>
        </is>
      </c>
      <c r="J4818" s="2">
        <f>HYPERLINK("https://app.astro.lead-studio.pro/product/37adf270-395f-4cc5-bc00-15660f160c03")</f>
      </c>
    </row>
    <row r="4819" spans="1:10" customHeight="0">
      <c r="A4819" s="2" t="inlineStr">
        <is>
          <t>Видеонаблюдение</t>
        </is>
      </c>
      <c r="B4819" s="2" t="inlineStr">
        <is>
          <t>DAHUA</t>
        </is>
      </c>
      <c r="C4819" s="2" t="inlineStr">
        <is>
          <t>DHI-NVR5432-16P-EI</t>
        </is>
      </c>
      <c r="D4819" s="2" t="inlineStr">
        <is>
          <t>Видеорегистратор Dahua DHI-NVR5432-16P-EI</t>
        </is>
      </c>
      <c r="E4819" s="2" t="inlineStr">
        <is>
          <t>+ </t>
        </is>
      </c>
      <c r="F4819" s="2" t="inlineStr">
        <is>
          <t>+ </t>
        </is>
      </c>
      <c r="H4819" s="2">
        <v>1495</v>
      </c>
      <c r="I4819" s="2" t="inlineStr">
        <is>
          <t>$</t>
        </is>
      </c>
      <c r="J4819" s="2">
        <f>HYPERLINK("https://app.astro.lead-studio.pro/product/d91295b3-f304-46bf-81c6-32ebee2b03d6")</f>
      </c>
    </row>
    <row r="4820" spans="1:10" customHeight="0">
      <c r="A4820" s="2" t="inlineStr">
        <is>
          <t>Видеонаблюдение</t>
        </is>
      </c>
      <c r="B4820" s="2" t="inlineStr">
        <is>
          <t>DAHUA</t>
        </is>
      </c>
      <c r="C4820" s="2" t="inlineStr">
        <is>
          <t>DHI-NVR5432-EI</t>
        </is>
      </c>
      <c r="D4820" s="2" t="inlineStr">
        <is>
          <t>Видеорегистратор Dahua DHI-NVR5432-EI</t>
        </is>
      </c>
      <c r="E4820" s="2" t="inlineStr">
        <is>
          <t>+ </t>
        </is>
      </c>
      <c r="F4820" s="2" t="inlineStr">
        <is>
          <t>+ </t>
        </is>
      </c>
      <c r="H4820" s="2">
        <v>765</v>
      </c>
      <c r="I4820" s="2" t="inlineStr">
        <is>
          <t>$</t>
        </is>
      </c>
      <c r="J4820" s="2">
        <f>HYPERLINK("https://app.astro.lead-studio.pro/product/9edd6176-bf7d-462d-926d-ccced3632e08")</f>
      </c>
    </row>
    <row r="4821" spans="1:10" customHeight="0">
      <c r="A4821" s="2" t="inlineStr">
        <is>
          <t>Видеонаблюдение</t>
        </is>
      </c>
      <c r="B4821" s="2" t="inlineStr">
        <is>
          <t>DAHUA</t>
        </is>
      </c>
      <c r="C4821" s="2" t="inlineStr">
        <is>
          <t>DHI-NVR5464-EI</t>
        </is>
      </c>
      <c r="D4821" s="2" t="inlineStr">
        <is>
          <t>Видеорегистратор Dahua DHI-NVR5464-EI</t>
        </is>
      </c>
      <c r="E4821" s="2" t="inlineStr">
        <is>
          <t>+ </t>
        </is>
      </c>
      <c r="F4821" s="2" t="inlineStr">
        <is>
          <t>+ </t>
        </is>
      </c>
      <c r="H4821" s="2">
        <v>1329</v>
      </c>
      <c r="I4821" s="2" t="inlineStr">
        <is>
          <t>$</t>
        </is>
      </c>
      <c r="J4821" s="2">
        <f>HYPERLINK("https://app.astro.lead-studio.pro/product/05689a60-bf78-45ed-a025-4d66723e35a3")</f>
      </c>
    </row>
    <row r="4822" spans="1:10" customHeight="0">
      <c r="A4822" s="2" t="inlineStr">
        <is>
          <t>Видеонаблюдение</t>
        </is>
      </c>
      <c r="B4822" s="2" t="inlineStr">
        <is>
          <t>DAHUA</t>
        </is>
      </c>
      <c r="C4822" s="2" t="inlineStr">
        <is>
          <t>DHI-NVR5832-EI</t>
        </is>
      </c>
      <c r="D4822" s="2" t="inlineStr">
        <is>
          <t>Видеорегистратор Dahua DHI-NVR5832-EI</t>
        </is>
      </c>
      <c r="E4822" s="2" t="inlineStr">
        <is>
          <t>+ </t>
        </is>
      </c>
      <c r="F4822" s="2" t="inlineStr">
        <is>
          <t>+ </t>
        </is>
      </c>
      <c r="H4822" s="2">
        <v>1724</v>
      </c>
      <c r="I4822" s="2" t="inlineStr">
        <is>
          <t>$</t>
        </is>
      </c>
      <c r="J4822" s="2">
        <f>HYPERLINK("https://app.astro.lead-studio.pro/product/8fab5670-a3f1-4367-b8ab-c4ad9d965360")</f>
      </c>
    </row>
    <row r="4823" spans="1:10" customHeight="0">
      <c r="A4823" s="2" t="inlineStr">
        <is>
          <t>Видеонаблюдение</t>
        </is>
      </c>
      <c r="B4823" s="2" t="inlineStr">
        <is>
          <t>DAHUA</t>
        </is>
      </c>
      <c r="C4823" s="2" t="inlineStr">
        <is>
          <t>DHI-NVR5864-EI</t>
        </is>
      </c>
      <c r="D4823" s="2" t="inlineStr">
        <is>
          <t>Видеорегистратор Dahua DHI-NVR5864-EI</t>
        </is>
      </c>
      <c r="E4823" s="2" t="inlineStr">
        <is>
          <t>++ </t>
        </is>
      </c>
      <c r="F4823" s="2" t="inlineStr">
        <is>
          <t>++ </t>
        </is>
      </c>
      <c r="H4823" s="2">
        <v>1248</v>
      </c>
      <c r="I4823" s="2" t="inlineStr">
        <is>
          <t>$</t>
        </is>
      </c>
      <c r="J4823" s="2">
        <f>HYPERLINK("https://app.astro.lead-studio.pro/product/bbf50f80-983a-410f-a9a5-8c570edfaf93")</f>
      </c>
    </row>
    <row r="4824" spans="1:10" customHeight="0">
      <c r="A4824" s="2" t="inlineStr">
        <is>
          <t>Видеонаблюдение</t>
        </is>
      </c>
      <c r="B4824" s="2" t="inlineStr">
        <is>
          <t>DAHUA</t>
        </is>
      </c>
      <c r="C4824" s="2" t="inlineStr">
        <is>
          <t>DHI-NVR5208-EI</t>
        </is>
      </c>
      <c r="D4824" s="2" t="inlineStr">
        <is>
          <t>Видеорегистратор Dahua NVR DHI-NVR5208-EI</t>
        </is>
      </c>
      <c r="E4824" s="2" t="inlineStr">
        <is>
          <t>++ </t>
        </is>
      </c>
      <c r="F4824" s="2" t="inlineStr">
        <is>
          <t>++ </t>
        </is>
      </c>
      <c r="H4824" s="2">
        <v>337</v>
      </c>
      <c r="I4824" s="2" t="inlineStr">
        <is>
          <t>$</t>
        </is>
      </c>
      <c r="J4824" s="2">
        <f>HYPERLINK("https://app.astro.lead-studio.pro/product/fed853c9-dbd2-4f65-a222-f823e9b72cc8")</f>
      </c>
    </row>
    <row r="4825" spans="1:10" customHeight="0">
      <c r="A4825" s="2" t="inlineStr">
        <is>
          <t>Видеонаблюдение</t>
        </is>
      </c>
      <c r="B4825" s="2" t="inlineStr">
        <is>
          <t>FALCON EYE</t>
        </is>
      </c>
      <c r="C4825" s="2" t="inlineStr">
        <is>
          <t>FE-MHD5216</t>
        </is>
      </c>
      <c r="D4825" s="2" t="inlineStr">
        <is>
          <t>Видеорегистратор Falcon Eye FE-MHD5216</t>
        </is>
      </c>
      <c r="E4825" s="2" t="inlineStr">
        <is>
          <t>+ </t>
        </is>
      </c>
      <c r="F4825" s="2" t="inlineStr">
        <is>
          <t>+ </t>
        </is>
      </c>
      <c r="H4825" s="2">
        <v>413</v>
      </c>
      <c r="I4825" s="2" t="inlineStr">
        <is>
          <t>$</t>
        </is>
      </c>
      <c r="J4825" s="2">
        <f>HYPERLINK("https://app.astro.lead-studio.pro/product/49776c0d-1c26-4eaf-8d6a-8af92add605d")</f>
      </c>
    </row>
    <row r="4826" spans="1:10" customHeight="0">
      <c r="A4826" s="2" t="inlineStr">
        <is>
          <t>Видеонаблюдение</t>
        </is>
      </c>
      <c r="B4826" s="2" t="inlineStr">
        <is>
          <t>HIKVISION</t>
        </is>
      </c>
      <c r="C4826" s="2" t="inlineStr">
        <is>
          <t>DS-7616NXI-K2/16P</t>
        </is>
      </c>
      <c r="D4826" s="2" t="inlineStr">
        <is>
          <t>Видеорегистратор Hikvision DS-7616NXI-K2/16P</t>
        </is>
      </c>
      <c r="E4826" s="2" t="inlineStr">
        <is>
          <t>+ </t>
        </is>
      </c>
      <c r="F4826" s="2" t="inlineStr">
        <is>
          <t>+ </t>
        </is>
      </c>
      <c r="H4826" s="2">
        <v>444</v>
      </c>
      <c r="I4826" s="2" t="inlineStr">
        <is>
          <t>$</t>
        </is>
      </c>
      <c r="J4826" s="2">
        <f>HYPERLINK("https://app.astro.lead-studio.pro/product/10a9a1f3-f841-42cd-9747-c73792d98838")</f>
      </c>
    </row>
    <row r="4827" spans="1:10" customHeight="0">
      <c r="A4827" s="2" t="inlineStr">
        <is>
          <t>Видеонаблюдение</t>
        </is>
      </c>
      <c r="B4827" s="2" t="inlineStr">
        <is>
          <t>HIKVISION</t>
        </is>
      </c>
      <c r="C4827" s="2" t="inlineStr">
        <is>
          <t>DS-7732NXI-K4</t>
        </is>
      </c>
      <c r="D4827" s="2" t="inlineStr">
        <is>
          <t>Видеорегистратор Hikvision DS-7732NXI-K4</t>
        </is>
      </c>
      <c r="E4827" s="2" t="inlineStr">
        <is>
          <t>+++ </t>
        </is>
      </c>
      <c r="F4827" s="2" t="inlineStr">
        <is>
          <t>+++ </t>
        </is>
      </c>
      <c r="H4827" s="2">
        <v>534</v>
      </c>
      <c r="I4827" s="2" t="inlineStr">
        <is>
          <t>$</t>
        </is>
      </c>
      <c r="J4827" s="2">
        <f>HYPERLINK("https://app.astro.lead-studio.pro/product/1515275a-d969-4b14-a43e-a2777ad843f3")</f>
      </c>
    </row>
    <row r="4828" spans="1:10" customHeight="0">
      <c r="A4828" s="2" t="inlineStr">
        <is>
          <t>Видеонаблюдение</t>
        </is>
      </c>
      <c r="B4828" s="2" t="inlineStr">
        <is>
          <t>HIKVISION</t>
        </is>
      </c>
      <c r="C4828" s="2" t="inlineStr">
        <is>
          <t>DS-7732NXI-K4/16P</t>
        </is>
      </c>
      <c r="D4828" s="2" t="inlineStr">
        <is>
          <t>Видеорегистратор Hikvision DS-7732NXI-K4/16P</t>
        </is>
      </c>
      <c r="E4828" s="2" t="inlineStr">
        <is>
          <t>+++ </t>
        </is>
      </c>
      <c r="F4828" s="2" t="inlineStr">
        <is>
          <t>+++ </t>
        </is>
      </c>
      <c r="H4828" s="2">
        <v>810</v>
      </c>
      <c r="I4828" s="2" t="inlineStr">
        <is>
          <t>$</t>
        </is>
      </c>
      <c r="J4828" s="2">
        <f>HYPERLINK("https://app.astro.lead-studio.pro/product/06d47f65-1b1b-46df-8773-f4756383a197")</f>
      </c>
    </row>
    <row r="4829" spans="1:10" customHeight="0">
      <c r="A4829" s="2" t="inlineStr">
        <is>
          <t>Видеонаблюдение</t>
        </is>
      </c>
      <c r="B4829" s="2" t="inlineStr">
        <is>
          <t>TIANDY</t>
        </is>
      </c>
      <c r="C4829" s="2" t="inlineStr">
        <is>
          <t>TC-R3220 I/B/P16/K/V3.1</t>
        </is>
      </c>
      <c r="D4829" s="2" t="inlineStr">
        <is>
          <t>Видеорегистратор Tiandy TC-R3220 I/B/P16/K/V3.1</t>
        </is>
      </c>
      <c r="E4829" s="2" t="inlineStr">
        <is>
          <t>+ </t>
        </is>
      </c>
      <c r="F4829" s="2" t="inlineStr">
        <is>
          <t>+ </t>
        </is>
      </c>
      <c r="H4829" s="2">
        <v>484</v>
      </c>
      <c r="I4829" s="2" t="inlineStr">
        <is>
          <t>$</t>
        </is>
      </c>
      <c r="J4829" s="2">
        <f>HYPERLINK("https://app.astro.lead-studio.pro/product/e6e61c47-64a0-49ca-94dc-766fe30bdbbc")</f>
      </c>
    </row>
    <row r="4830" spans="1:10" customHeight="0">
      <c r="A4830" s="2" t="inlineStr">
        <is>
          <t>Видеонаблюдение</t>
        </is>
      </c>
      <c r="B4830" s="2" t="inlineStr">
        <is>
          <t>TIANDY</t>
        </is>
      </c>
      <c r="C4830" s="2" t="inlineStr">
        <is>
          <t>TC-R3232 I/B/K/V3.1</t>
        </is>
      </c>
      <c r="D4830" s="2" t="inlineStr">
        <is>
          <t>Видеорегистратор Tiandy TC-R3232 I/B/K/V3.1</t>
        </is>
      </c>
      <c r="E4830" s="2" t="inlineStr">
        <is>
          <t>+ </t>
        </is>
      </c>
      <c r="F4830" s="2" t="inlineStr">
        <is>
          <t>+ </t>
        </is>
      </c>
      <c r="H4830" s="2">
        <v>383</v>
      </c>
      <c r="I4830" s="2" t="inlineStr">
        <is>
          <t>$</t>
        </is>
      </c>
      <c r="J4830" s="2">
        <f>HYPERLINK("https://app.astro.lead-studio.pro/product/b3bd0c01-c00f-441a-9e55-8d320fa6e27d")</f>
      </c>
    </row>
    <row r="4831" spans="1:10" customHeight="0">
      <c r="A4831" s="2" t="inlineStr">
        <is>
          <t>Видеонаблюдение</t>
        </is>
      </c>
      <c r="B4831" s="2" t="inlineStr">
        <is>
          <t>TIANDY</t>
        </is>
      </c>
      <c r="C4831" s="2" t="inlineStr">
        <is>
          <t>TC-R3240 I/B/N/H/V4.0</t>
        </is>
      </c>
      <c r="D4831" s="2" t="inlineStr">
        <is>
          <t>Видеорегистратор Tiandy TC-R3240 I/B/N/H/V4.0</t>
        </is>
      </c>
      <c r="E4831" s="2" t="inlineStr">
        <is>
          <t>+ </t>
        </is>
      </c>
      <c r="F4831" s="2" t="inlineStr">
        <is>
          <t>+ </t>
        </is>
      </c>
      <c r="H4831" s="2">
        <v>480</v>
      </c>
      <c r="I4831" s="2" t="inlineStr">
        <is>
          <t>$</t>
        </is>
      </c>
      <c r="J4831" s="2">
        <f>HYPERLINK("https://app.astro.lead-studio.pro/product/2d9d6cc6-d00b-41e6-a29d-537a4b5c7cee")</f>
      </c>
    </row>
    <row r="4832" spans="1:10" customHeight="0">
      <c r="A4832" s="2" t="inlineStr">
        <is>
          <t>Видеонаблюдение</t>
        </is>
      </c>
      <c r="B4832" s="2" t="inlineStr">
        <is>
          <t>TIANDY</t>
        </is>
      </c>
      <c r="C4832" s="2" t="inlineStr">
        <is>
          <t>TC-R3432 I/B/K/V3.1</t>
        </is>
      </c>
      <c r="D4832" s="2" t="inlineStr">
        <is>
          <t>Видеорегистратор Tiandy TC-R3432 I/B/K/V3.1</t>
        </is>
      </c>
      <c r="E4832" s="2" t="inlineStr">
        <is>
          <t>+ </t>
        </is>
      </c>
      <c r="F4832" s="2" t="inlineStr">
        <is>
          <t>+ </t>
        </is>
      </c>
      <c r="H4832" s="2">
        <v>450</v>
      </c>
      <c r="I4832" s="2" t="inlineStr">
        <is>
          <t>$</t>
        </is>
      </c>
      <c r="J4832" s="2">
        <f>HYPERLINK("https://app.astro.lead-studio.pro/product/54685a5f-9180-439b-b7e1-addf69be4564")</f>
      </c>
    </row>
    <row r="4833" spans="1:10" customHeight="0">
      <c r="A4833" s="2" t="inlineStr">
        <is>
          <t>Видеонаблюдение</t>
        </is>
      </c>
      <c r="B4833" s="2" t="inlineStr">
        <is>
          <t>TIANDY</t>
        </is>
      </c>
      <c r="C4833" s="2" t="inlineStr">
        <is>
          <t>TC-R3440 I/B/N/H/C/V4.0</t>
        </is>
      </c>
      <c r="D4833" s="2" t="inlineStr">
        <is>
          <t>Видеорегистратор Tiandy TC-R3440 I/B/N/H/C/V4.0</t>
        </is>
      </c>
      <c r="E4833" s="2" t="inlineStr">
        <is>
          <t>+ </t>
        </is>
      </c>
      <c r="F4833" s="2" t="inlineStr">
        <is>
          <t>+ </t>
        </is>
      </c>
      <c r="H4833" s="2">
        <v>585</v>
      </c>
      <c r="I4833" s="2" t="inlineStr">
        <is>
          <t>$</t>
        </is>
      </c>
      <c r="J4833" s="2">
        <f>HYPERLINK("https://app.astro.lead-studio.pro/product/95d9f4bf-9f8c-433f-8146-07264ec03240")</f>
      </c>
    </row>
    <row r="4834" spans="1:10" customHeight="0">
      <c r="A4834" s="2" t="inlineStr">
        <is>
          <t>Видеонаблюдение</t>
        </is>
      </c>
      <c r="B4834" s="2" t="inlineStr">
        <is>
          <t>TIANDY</t>
        </is>
      </c>
      <c r="C4834" s="2" t="inlineStr">
        <is>
          <t>TC-R3440 I/B/N/V4.0</t>
        </is>
      </c>
      <c r="D4834" s="2" t="inlineStr">
        <is>
          <t>Видеорегистратор Tiandy TC-R3440 I/B/N/V4.0</t>
        </is>
      </c>
      <c r="E4834" s="2" t="inlineStr">
        <is>
          <t>+ </t>
        </is>
      </c>
      <c r="F4834" s="2" t="inlineStr">
        <is>
          <t>+ </t>
        </is>
      </c>
      <c r="H4834" s="2">
        <v>793</v>
      </c>
      <c r="I4834" s="2" t="inlineStr">
        <is>
          <t>$</t>
        </is>
      </c>
      <c r="J4834" s="2">
        <f>HYPERLINK("https://app.astro.lead-studio.pro/product/9401f5a7-fe86-480c-9ffa-acb1c13867a5")</f>
      </c>
    </row>
    <row r="4835" spans="1:10" customHeight="0">
      <c r="A4835" s="2" t="inlineStr">
        <is>
          <t>Видеонаблюдение</t>
        </is>
      </c>
      <c r="B4835" s="2" t="inlineStr">
        <is>
          <t>TIANDY</t>
        </is>
      </c>
      <c r="C4835" s="2" t="inlineStr">
        <is>
          <t>TC-R3840  I/B/N/V4.0</t>
        </is>
      </c>
      <c r="D4835" s="2" t="inlineStr">
        <is>
          <t>Видеорегистратор Tiandy TC-R3840 I/B/N/V4.0</t>
        </is>
      </c>
      <c r="E4835" s="2" t="inlineStr">
        <is>
          <t>+ </t>
        </is>
      </c>
      <c r="F4835" s="2" t="inlineStr">
        <is>
          <t>+ </t>
        </is>
      </c>
      <c r="H4835" s="2">
        <v>1208</v>
      </c>
      <c r="I4835" s="2" t="inlineStr">
        <is>
          <t>$</t>
        </is>
      </c>
      <c r="J4835" s="2">
        <f>HYPERLINK("https://app.astro.lead-studio.pro/product/e89dbfb7-468d-47d1-9db3-fc6581372da4")</f>
      </c>
    </row>
    <row r="4836" spans="1:10" customHeight="0">
      <c r="A4836" s="2" t="inlineStr">
        <is>
          <t>Видеонаблюдение</t>
        </is>
      </c>
      <c r="B4836" s="2" t="inlineStr">
        <is>
          <t>TIANDY</t>
        </is>
      </c>
      <c r="C4836" s="2" t="inlineStr">
        <is>
          <t>TC-R3880 I/B/N/V4.0</t>
        </is>
      </c>
      <c r="D4836" s="2" t="inlineStr">
        <is>
          <t>Видеорегистратор Tiandy TC-R3880 I/B/N/V4.0</t>
        </is>
      </c>
      <c r="E4836" s="2" t="inlineStr">
        <is>
          <t>+ </t>
        </is>
      </c>
      <c r="F4836" s="2" t="inlineStr">
        <is>
          <t>+ </t>
        </is>
      </c>
      <c r="H4836" s="2">
        <v>1416</v>
      </c>
      <c r="I4836" s="2" t="inlineStr">
        <is>
          <t>$</t>
        </is>
      </c>
      <c r="J4836" s="2">
        <f>HYPERLINK("https://app.astro.lead-studio.pro/product/1e04f0a7-a79a-481e-8287-a5b10997cad1")</f>
      </c>
    </row>
    <row r="4837" spans="1:10" customHeight="0">
      <c r="A4837" s="2" t="inlineStr">
        <is>
          <t>Видеонаблюдение</t>
        </is>
      </c>
      <c r="B4837" s="2" t="inlineStr">
        <is>
          <t>TRASSIR</t>
        </is>
      </c>
      <c r="C4837" s="2" t="inlineStr">
        <is>
          <t>2416R-16P</t>
        </is>
      </c>
      <c r="D4837" s="2" t="inlineStr">
        <is>
          <t>Видеорегистратор Trassir DuoStation 2416R-16P</t>
        </is>
      </c>
      <c r="E4837" s="2" t="inlineStr">
        <is>
          <t>+ </t>
        </is>
      </c>
      <c r="F4837" s="2" t="inlineStr">
        <is>
          <t>+ </t>
        </is>
      </c>
      <c r="H4837" s="2">
        <v>1334</v>
      </c>
      <c r="I4837" s="2" t="inlineStr">
        <is>
          <t>$</t>
        </is>
      </c>
      <c r="J4837" s="2">
        <f>HYPERLINK("https://app.astro.lead-studio.pro/product/14486f01-9a24-4468-9bee-a883a399893d")</f>
      </c>
    </row>
    <row r="4838" spans="1:10" customHeight="0">
      <c r="A4838" s="2" t="inlineStr">
        <is>
          <t>Видеонаблюдение</t>
        </is>
      </c>
      <c r="B4838" s="2" t="inlineStr">
        <is>
          <t>TRASSIR</t>
        </is>
      </c>
      <c r="C4838" s="2" t="inlineStr">
        <is>
          <t>MINICLIENT</t>
        </is>
      </c>
      <c r="D4838" s="2" t="inlineStr">
        <is>
          <t>Видеорегистратор Trassir MiniClient</t>
        </is>
      </c>
      <c r="E4838" s="2" t="inlineStr">
        <is>
          <t>+ </t>
        </is>
      </c>
      <c r="F4838" s="2" t="inlineStr">
        <is>
          <t>+ </t>
        </is>
      </c>
      <c r="H4838" s="2">
        <v>486</v>
      </c>
      <c r="I4838" s="2" t="inlineStr">
        <is>
          <t>$</t>
        </is>
      </c>
      <c r="J4838" s="2">
        <f>HYPERLINK("https://app.astro.lead-studio.pro/product/b375e6aa-9747-48eb-95a4-99cfab150f8f")</f>
      </c>
    </row>
    <row r="4839" spans="1:10" customHeight="0">
      <c r="A4839" s="2" t="inlineStr">
        <is>
          <t>Видеонаблюдение</t>
        </is>
      </c>
      <c r="B4839" s="2" t="inlineStr">
        <is>
          <t>TRASSIR</t>
        </is>
      </c>
      <c r="C4839" s="2" t="inlineStr">
        <is>
          <t>2216R-16P</t>
        </is>
      </c>
      <c r="D4839" s="2" t="inlineStr">
        <is>
          <t>Видеорегистратор Trassir MiniNVR 2216R-16P</t>
        </is>
      </c>
      <c r="E4839" s="2" t="inlineStr">
        <is>
          <t>+ </t>
        </is>
      </c>
      <c r="F4839" s="2" t="inlineStr">
        <is>
          <t>+ </t>
        </is>
      </c>
      <c r="H4839" s="2">
        <v>799</v>
      </c>
      <c r="I4839" s="2" t="inlineStr">
        <is>
          <t>$</t>
        </is>
      </c>
      <c r="J4839" s="2">
        <f>HYPERLINK("https://app.astro.lead-studio.pro/product/cf5280e0-d3b9-45b9-83a9-0522f9236a45")</f>
      </c>
    </row>
    <row r="4840" spans="1:10" customHeight="0">
      <c r="A4840" s="2" t="inlineStr">
        <is>
          <t>Видеонаблюдение</t>
        </is>
      </c>
      <c r="B4840" s="2" t="inlineStr">
        <is>
          <t>TRASSIR</t>
        </is>
      </c>
      <c r="C4840" s="2" t="inlineStr">
        <is>
          <t>3216R AF</t>
        </is>
      </c>
      <c r="D4840" s="2" t="inlineStr">
        <is>
          <t>Видеорегистратор Trassir MiniNVR 3216R AF</t>
        </is>
      </c>
      <c r="E4840" s="2" t="inlineStr">
        <is>
          <t>+ </t>
        </is>
      </c>
      <c r="F4840" s="2" t="inlineStr">
        <is>
          <t>+ </t>
        </is>
      </c>
      <c r="H4840" s="2">
        <v>514</v>
      </c>
      <c r="I4840" s="2" t="inlineStr">
        <is>
          <t>$</t>
        </is>
      </c>
      <c r="J4840" s="2">
        <f>HYPERLINK("https://app.astro.lead-studio.pro/product/55fc826e-84b5-4c80-b471-21f885de0cbb")</f>
      </c>
    </row>
    <row r="4841" spans="1:10" customHeight="0">
      <c r="A4841" s="2" t="inlineStr">
        <is>
          <t>Видеонаблюдение</t>
        </is>
      </c>
      <c r="B4841" s="2" t="inlineStr">
        <is>
          <t>DAHUA</t>
        </is>
      </c>
      <c r="C4841" s="2" t="inlineStr">
        <is>
          <t>DHI-LM32-S200</t>
        </is>
      </c>
      <c r="D4841" s="2" t="inlineStr">
        <is>
          <t>Монитор Dahua DHI-LM32-S200 31.5" 1920x1080</t>
        </is>
      </c>
      <c r="E4841" s="2" t="inlineStr">
        <is>
          <t>+ </t>
        </is>
      </c>
      <c r="F4841" s="2" t="inlineStr">
        <is>
          <t>+ </t>
        </is>
      </c>
      <c r="H4841" s="2">
        <v>470</v>
      </c>
      <c r="I4841" s="2" t="inlineStr">
        <is>
          <t>$</t>
        </is>
      </c>
      <c r="J4841" s="2">
        <f>HYPERLINK("https://app.astro.lead-studio.pro/product/99deda1c-11ae-4825-b14d-f08b244070c8")</f>
      </c>
    </row>
    <row r="4842" spans="1:10" customHeight="0">
      <c r="A4842" s="2" t="inlineStr">
        <is>
          <t>Видеонаблюдение</t>
        </is>
      </c>
      <c r="B4842" s="2" t="inlineStr">
        <is>
          <t>DAHUA</t>
        </is>
      </c>
      <c r="C4842" s="2" t="inlineStr">
        <is>
          <t>DHI-LM43-F200</t>
        </is>
      </c>
      <c r="D4842" s="2" t="inlineStr">
        <is>
          <t>Монитор Dahua DHI-LM43-F200 43" 1920x1080</t>
        </is>
      </c>
      <c r="E4842" s="2" t="inlineStr">
        <is>
          <t>++ </t>
        </is>
      </c>
      <c r="F4842" s="2" t="inlineStr">
        <is>
          <t>++ </t>
        </is>
      </c>
      <c r="H4842" s="2">
        <v>321</v>
      </c>
      <c r="I4842" s="2" t="inlineStr">
        <is>
          <t>$</t>
        </is>
      </c>
      <c r="J4842" s="2">
        <f>HYPERLINK("https://app.astro.lead-studio.pro/product/6496e20e-f136-4c62-a77a-df4dbc730a02")</f>
      </c>
    </row>
    <row r="4843" spans="1:10" customHeight="0">
      <c r="A4843" s="2" t="inlineStr">
        <is>
          <t>Видеонаблюдение</t>
        </is>
      </c>
      <c r="B4843" s="2" t="inlineStr">
        <is>
          <t>DAHUA</t>
        </is>
      </c>
      <c r="C4843" s="2" t="inlineStr">
        <is>
          <t>DHI-LM43-F400</t>
        </is>
      </c>
      <c r="D4843" s="2" t="inlineStr">
        <is>
          <t>Монитор Dahua DHI-LM43-F400 43" 3840x2160</t>
        </is>
      </c>
      <c r="E4843" s="2" t="inlineStr">
        <is>
          <t>+++ </t>
        </is>
      </c>
      <c r="F4843" s="2" t="inlineStr">
        <is>
          <t>+++ </t>
        </is>
      </c>
      <c r="H4843" s="2">
        <v>476</v>
      </c>
      <c r="I4843" s="2" t="inlineStr">
        <is>
          <t>$</t>
        </is>
      </c>
      <c r="J4843" s="2">
        <f>HYPERLINK("https://app.astro.lead-studio.pro/product/00a10fc6-e170-4a50-8586-0bc9d9e7b394")</f>
      </c>
    </row>
    <row r="4844" spans="1:10" customHeight="0">
      <c r="A4844" s="2" t="inlineStr">
        <is>
          <t>Видеонаблюдение</t>
        </is>
      </c>
      <c r="B4844" s="2" t="inlineStr">
        <is>
          <t>DAHUA</t>
        </is>
      </c>
      <c r="C4844" s="2" t="inlineStr">
        <is>
          <t>DHI-LM43-S200</t>
        </is>
      </c>
      <c r="D4844" s="2" t="inlineStr">
        <is>
          <t>Монитор Dahua DHI-LM43-S200 42.5" 1920x1080</t>
        </is>
      </c>
      <c r="E4844" s="2" t="inlineStr">
        <is>
          <t>+ </t>
        </is>
      </c>
      <c r="F4844" s="2" t="inlineStr">
        <is>
          <t>+ </t>
        </is>
      </c>
      <c r="H4844" s="2">
        <v>787</v>
      </c>
      <c r="I4844" s="2" t="inlineStr">
        <is>
          <t>$</t>
        </is>
      </c>
      <c r="J4844" s="2">
        <f>HYPERLINK("https://app.astro.lead-studio.pro/product/f7bae040-55cc-4d33-be01-a7fed0c23952")</f>
      </c>
    </row>
    <row r="4845" spans="1:10" customHeight="0">
      <c r="A4845" s="2" t="inlineStr">
        <is>
          <t>Видеонаблюдение</t>
        </is>
      </c>
      <c r="B4845" s="2" t="inlineStr">
        <is>
          <t>DAHUA</t>
        </is>
      </c>
      <c r="C4845" s="2" t="inlineStr">
        <is>
          <t>DHI-LM43-S400</t>
        </is>
      </c>
      <c r="D4845" s="2" t="inlineStr">
        <is>
          <t>Монитор Dahua DHI-LM43-S400 43" 3840x2160</t>
        </is>
      </c>
      <c r="E4845" s="2" t="inlineStr">
        <is>
          <t>++ </t>
        </is>
      </c>
      <c r="F4845" s="2" t="inlineStr">
        <is>
          <t>++ </t>
        </is>
      </c>
      <c r="H4845" s="2">
        <v>964</v>
      </c>
      <c r="I4845" s="2" t="inlineStr">
        <is>
          <t>$</t>
        </is>
      </c>
      <c r="J4845" s="2">
        <f>HYPERLINK("https://app.astro.lead-studio.pro/product/57d6c16d-db2c-4cca-816c-0ce15f7a4170")</f>
      </c>
    </row>
    <row r="4846" spans="1:10" customHeight="0">
      <c r="A4846" s="2" t="inlineStr">
        <is>
          <t>Видеонаблюдение</t>
        </is>
      </c>
      <c r="B4846" s="2" t="inlineStr">
        <is>
          <t>DAHUA</t>
        </is>
      </c>
      <c r="C4846" s="2" t="inlineStr">
        <is>
          <t>DHI-LM49-S400</t>
        </is>
      </c>
      <c r="D4846" s="2" t="inlineStr">
        <is>
          <t>Монитор Dahua DHI-LM49-S400 49" 3840x2160</t>
        </is>
      </c>
      <c r="E4846" s="2" t="inlineStr">
        <is>
          <t>+ </t>
        </is>
      </c>
      <c r="F4846" s="2" t="inlineStr">
        <is>
          <t>+ </t>
        </is>
      </c>
      <c r="H4846" s="2">
        <v>1193</v>
      </c>
      <c r="I4846" s="2" t="inlineStr">
        <is>
          <t>$</t>
        </is>
      </c>
      <c r="J4846" s="2">
        <f>HYPERLINK("https://app.astro.lead-studio.pro/product/68f57e2d-5864-4a0d-9f63-0f1c8e4c3cc7")</f>
      </c>
    </row>
    <row r="4847" spans="1:10" customHeight="0">
      <c r="A4847" s="2" t="inlineStr">
        <is>
          <t>Видеонаблюдение</t>
        </is>
      </c>
      <c r="B4847" s="2" t="inlineStr">
        <is>
          <t>DAHUA</t>
        </is>
      </c>
      <c r="C4847" s="2" t="inlineStr">
        <is>
          <t>DHI-LM55-S200</t>
        </is>
      </c>
      <c r="D4847" s="2" t="inlineStr">
        <is>
          <t>Монитор Dahua DHI-LM55-S200 55" 1920x1080</t>
        </is>
      </c>
      <c r="E4847" s="2" t="inlineStr">
        <is>
          <t>+ </t>
        </is>
      </c>
      <c r="F4847" s="2" t="inlineStr">
        <is>
          <t>+ </t>
        </is>
      </c>
      <c r="H4847" s="2">
        <v>928</v>
      </c>
      <c r="I4847" s="2" t="inlineStr">
        <is>
          <t>$</t>
        </is>
      </c>
      <c r="J4847" s="2">
        <f>HYPERLINK("https://app.astro.lead-studio.pro/product/b8a0bd0c-ebb1-430b-8ae9-b3c51e929208")</f>
      </c>
    </row>
    <row r="4848" spans="1:10" customHeight="0">
      <c r="A4848" s="2" t="inlineStr">
        <is>
          <t>Видеонаблюдение</t>
        </is>
      </c>
      <c r="B4848" s="2" t="inlineStr">
        <is>
          <t>DAHUA</t>
        </is>
      </c>
      <c r="C4848" s="2" t="inlineStr">
        <is>
          <t>DHI-LM75-S400</t>
        </is>
      </c>
      <c r="D4848" s="2" t="inlineStr">
        <is>
          <t>Монитор Dahua DHI-LM75-S400 75" 3840x2160</t>
        </is>
      </c>
      <c r="E4848" s="2" t="inlineStr">
        <is>
          <t>+ </t>
        </is>
      </c>
      <c r="F4848" s="2" t="inlineStr">
        <is>
          <t>+ </t>
        </is>
      </c>
      <c r="H4848" s="2">
        <v>2263</v>
      </c>
      <c r="I4848" s="2" t="inlineStr">
        <is>
          <t>$</t>
        </is>
      </c>
      <c r="J4848" s="2">
        <f>HYPERLINK("https://app.astro.lead-studio.pro/product/24ae3e16-1206-41ce-b04d-c8cf3f3e353a")</f>
      </c>
    </row>
    <row r="4849" spans="1:10" customHeight="0">
      <c r="A4849" s="2" t="inlineStr">
        <is>
          <t>Умный дом</t>
        </is>
      </c>
      <c r="B4849" s="2" t="inlineStr">
        <is>
          <t>AQARA</t>
        </is>
      </c>
      <c r="C4849" s="2" t="inlineStr">
        <is>
          <t>ZNMS20LM</t>
        </is>
      </c>
      <c r="D4849" s="2" t="inlineStr">
        <is>
          <t>Умный замок Aqara D100 Zigbee врезной разбл.отпеч.паль. 2480mAh черный (ZNMS20LM)</t>
        </is>
      </c>
      <c r="E4849" s="2" t="inlineStr">
        <is>
          <t>+ </t>
        </is>
      </c>
      <c r="F4849" s="2" t="inlineStr">
        <is>
          <t>+ </t>
        </is>
      </c>
      <c r="H4849" s="2">
        <v>582</v>
      </c>
      <c r="I4849" s="2" t="inlineStr">
        <is>
          <t>$</t>
        </is>
      </c>
      <c r="J4849" s="2">
        <f>HYPERLINK("https://app.astro.lead-studio.pro/product/a082a986-f2a1-4cc5-adbd-a2da6fadea60")</f>
      </c>
    </row>
  </sheetData>
  <legacyDrawing r:id="rId_comments_vml1"/>
</worksheet>
</file>

<file path=docProps/app.xml><?xml version="1.0" encoding="utf-8"?>
<Properties xmlns="http://schemas.openxmlformats.org/officeDocument/2006/extended-properties">
  <Application>OpenSpout</Application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title>Untitled Spreadsheet</dc:title>
  <dc:subject/>
  <dc:creator>OpenSpout</dc:creator>
  <cp:lastModifiedBy>OpenSpout</cp:lastModifiedBy>
  <cp:keywords/>
  <dc:description/>
  <cp:category/>
  <dc:language/>
  <dcterms:created xsi:type="dcterms:W3CDTF">2025-02-13T14:14:43+00:00</dcterms:created>
  <dcterms:modified xsi:type="dcterms:W3CDTF">2025-02-13T14:14:43+00:00</dcterms:modified>
  <cp:revision>0</cp:revision>
</cp:coreProperties>
</file>